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EstaPasta_de_trabalho"/>
  <mc:AlternateContent xmlns:mc="http://schemas.openxmlformats.org/markup-compatibility/2006">
    <mc:Choice Requires="x15">
      <x15ac:absPath xmlns:x15ac="http://schemas.microsoft.com/office/spreadsheetml/2010/11/ac" url="G:\Meu Drive\DEO - DEPARTAMENTO DE ENGENHARIA E OBRAS\PROJETOS\CAMPUS - RIO VERDE\Centro de Inovação, Pesquisa e Pós Graduação\PROCESSO LICITATÓRIO\ARQUIVOS EDITÁVEIS\"/>
    </mc:Choice>
  </mc:AlternateContent>
  <xr:revisionPtr revIDLastSave="0" documentId="13_ncr:1_{0B90B93E-BB1C-4661-832C-DF33E8493C50}" xr6:coauthVersionLast="47" xr6:coauthVersionMax="47" xr10:uidLastSave="{00000000-0000-0000-0000-000000000000}"/>
  <bookViews>
    <workbookView xWindow="-108" yWindow="-108" windowWidth="23256" windowHeight="12456" tabRatio="898" activeTab="5" xr2:uid="{00000000-000D-0000-FFFF-FFFF00000000}"/>
  </bookViews>
  <sheets>
    <sheet name="Memória de Cálculo" sheetId="5" r:id="rId1"/>
    <sheet name="Cotações" sheetId="12" r:id="rId2"/>
    <sheet name="Composições Custo Unitário" sheetId="21" r:id="rId3"/>
    <sheet name="Planilha Orçamentária" sheetId="22" r:id="rId4"/>
    <sheet name="Demonstrativo BDI" sheetId="23" r:id="rId5"/>
    <sheet name="Memorial Descritivo" sheetId="19" r:id="rId6"/>
    <sheet name="Cronograma" sheetId="20" r:id="rId7"/>
  </sheets>
  <externalReferences>
    <externalReference r:id="rId8"/>
    <externalReference r:id="rId9"/>
  </externalReferences>
  <definedNames>
    <definedName name="_xlnm._FilterDatabase" localSheetId="0" hidden="1">'Memória de Cálculo'!$C$2900:$F$2909</definedName>
    <definedName name="_xlnm.Print_Area" localSheetId="1">Cotações!$B$1:$K$244</definedName>
    <definedName name="_xlnm.Print_Area" localSheetId="0">'Memória de Cálculo'!$A$1:$E$3210</definedName>
    <definedName name="_xlnm.Print_Area" localSheetId="5">'Memorial Descritivo'!$A$1:$C$2019</definedName>
    <definedName name="AreaTeste" localSheetId="1">#REF!</definedName>
    <definedName name="AreaTeste" localSheetId="6">#REF!</definedName>
    <definedName name="AreaTeste" localSheetId="5">#REF!</definedName>
    <definedName name="AreaTeste">#REF!</definedName>
    <definedName name="AreaTeste2" localSheetId="1">#REF!</definedName>
    <definedName name="AreaTeste2" localSheetId="6">#REF!</definedName>
    <definedName name="AreaTeste2" localSheetId="5">#REF!</definedName>
    <definedName name="AreaTeste2">#REF!</definedName>
    <definedName name="CélulaInicioPlanilha" localSheetId="1">#REF!</definedName>
    <definedName name="CélulaInicioPlanilha" localSheetId="6">#REF!</definedName>
    <definedName name="CélulaInicioPlanilha" localSheetId="5">#REF!</definedName>
    <definedName name="CélulaInicioPlanilha">#REF!</definedName>
    <definedName name="CélulaResumo" localSheetId="1">#REF!</definedName>
    <definedName name="CélulaResumo" localSheetId="6">#REF!</definedName>
    <definedName name="CélulaResumo" localSheetId="5">#REF!</definedName>
    <definedName name="CélulaResumo">#REF!</definedName>
    <definedName name="_xlnm.Print_Titles" localSheetId="1">Cotações!$1:$7</definedName>
    <definedName name="_xlnm.Print_Titles" localSheetId="0">'Memória de Cálculo'!$1:$7</definedName>
  </definedNames>
  <calcPr calcId="191029"/>
</workbook>
</file>

<file path=xl/calcChain.xml><?xml version="1.0" encoding="utf-8"?>
<calcChain xmlns="http://schemas.openxmlformats.org/spreadsheetml/2006/main">
  <c r="G323" i="21" l="1"/>
  <c r="G548" i="21"/>
  <c r="G496" i="21"/>
  <c r="G484" i="21"/>
  <c r="G476" i="21"/>
  <c r="H54" i="20"/>
  <c r="H52" i="20"/>
  <c r="H50" i="20"/>
  <c r="H48" i="20"/>
  <c r="H46" i="20"/>
  <c r="H44" i="20"/>
  <c r="H42" i="20"/>
  <c r="H40" i="20"/>
  <c r="H38" i="20"/>
  <c r="H36" i="20"/>
  <c r="H34" i="20"/>
  <c r="H32" i="20"/>
  <c r="H30" i="20"/>
  <c r="H28" i="20"/>
  <c r="H26" i="20"/>
  <c r="H24" i="20"/>
  <c r="H22" i="20"/>
  <c r="H25" i="22"/>
  <c r="H38" i="22"/>
  <c r="M269" i="22" l="1"/>
  <c r="M268" i="22"/>
  <c r="M267" i="22"/>
  <c r="P267" i="22" s="1"/>
  <c r="M266" i="22"/>
  <c r="M265" i="22"/>
  <c r="M264" i="22"/>
  <c r="M263" i="22"/>
  <c r="M262" i="22"/>
  <c r="M261" i="22"/>
  <c r="M260" i="22"/>
  <c r="M259" i="22"/>
  <c r="P259" i="22" s="1"/>
  <c r="M258" i="22"/>
  <c r="M257" i="22"/>
  <c r="M256" i="22"/>
  <c r="M255" i="22"/>
  <c r="M254" i="22"/>
  <c r="M253" i="22"/>
  <c r="M252" i="22"/>
  <c r="M251" i="22"/>
  <c r="P251" i="22" s="1"/>
  <c r="M250" i="22"/>
  <c r="M249" i="22"/>
  <c r="M248" i="22"/>
  <c r="M247" i="22"/>
  <c r="M246" i="22"/>
  <c r="M245" i="22"/>
  <c r="P245" i="22" s="1"/>
  <c r="M244" i="22"/>
  <c r="M243" i="22"/>
  <c r="P243" i="22" s="1"/>
  <c r="M242" i="22"/>
  <c r="M240" i="22"/>
  <c r="M239" i="22"/>
  <c r="M238" i="22"/>
  <c r="M237" i="22"/>
  <c r="M236" i="22"/>
  <c r="M235" i="22"/>
  <c r="M234" i="22"/>
  <c r="M233" i="22"/>
  <c r="M232" i="22"/>
  <c r="M231" i="22"/>
  <c r="M230" i="22"/>
  <c r="M229" i="22"/>
  <c r="M228" i="22"/>
  <c r="M227" i="22"/>
  <c r="M226" i="22"/>
  <c r="M225" i="22"/>
  <c r="M224" i="22"/>
  <c r="M223" i="22"/>
  <c r="M222" i="22"/>
  <c r="M221" i="22"/>
  <c r="P221" i="22" s="1"/>
  <c r="M220" i="22"/>
  <c r="M219" i="22"/>
  <c r="M218" i="22"/>
  <c r="M217" i="22"/>
  <c r="M215" i="22"/>
  <c r="M214" i="22"/>
  <c r="M213" i="22"/>
  <c r="M212" i="22"/>
  <c r="M211" i="22"/>
  <c r="M210" i="22"/>
  <c r="M209" i="22"/>
  <c r="M207" i="22"/>
  <c r="M206" i="22"/>
  <c r="M204" i="22"/>
  <c r="M202" i="22"/>
  <c r="M201" i="22"/>
  <c r="M200" i="22"/>
  <c r="M199" i="22"/>
  <c r="M198" i="22"/>
  <c r="M197" i="22"/>
  <c r="P197" i="22" s="1"/>
  <c r="M196" i="22"/>
  <c r="M195" i="22"/>
  <c r="P195" i="22" s="1"/>
  <c r="M194" i="22"/>
  <c r="M193" i="22"/>
  <c r="M192" i="22"/>
  <c r="M190" i="22"/>
  <c r="M189" i="22"/>
  <c r="M188" i="22"/>
  <c r="M186" i="22"/>
  <c r="M185" i="22"/>
  <c r="M184" i="22"/>
  <c r="M183" i="22"/>
  <c r="M181" i="22"/>
  <c r="P181" i="22" s="1"/>
  <c r="M180" i="22"/>
  <c r="M179" i="22"/>
  <c r="M178" i="22"/>
  <c r="M177" i="22"/>
  <c r="M176" i="22"/>
  <c r="M175" i="22"/>
  <c r="M173" i="22"/>
  <c r="M172" i="22"/>
  <c r="M171" i="22"/>
  <c r="P171" i="22" s="1"/>
  <c r="M170" i="22"/>
  <c r="M169" i="22"/>
  <c r="M167" i="22"/>
  <c r="M166" i="22"/>
  <c r="M165" i="22"/>
  <c r="M164" i="22"/>
  <c r="M163" i="22"/>
  <c r="P163" i="22" s="1"/>
  <c r="M161" i="22"/>
  <c r="M160" i="22"/>
  <c r="M159" i="22"/>
  <c r="M158" i="22"/>
  <c r="M156" i="22"/>
  <c r="M155" i="22"/>
  <c r="M154" i="22"/>
  <c r="M153" i="22"/>
  <c r="M152" i="22"/>
  <c r="M151" i="22"/>
  <c r="M150" i="22"/>
  <c r="M149" i="22"/>
  <c r="M148" i="22"/>
  <c r="M147" i="22"/>
  <c r="M146" i="22"/>
  <c r="M145" i="22"/>
  <c r="M144" i="22"/>
  <c r="M143" i="22"/>
  <c r="M142" i="22"/>
  <c r="M141" i="22"/>
  <c r="P141" i="22" s="1"/>
  <c r="M140" i="22"/>
  <c r="M139" i="22"/>
  <c r="M138" i="22"/>
  <c r="M137" i="22"/>
  <c r="M136" i="22"/>
  <c r="M135" i="22"/>
  <c r="M134" i="22"/>
  <c r="M133" i="22"/>
  <c r="M132"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7" i="22"/>
  <c r="M66" i="22"/>
  <c r="M64" i="22"/>
  <c r="P64" i="22" s="1"/>
  <c r="M63" i="22"/>
  <c r="M61" i="22"/>
  <c r="P61" i="22" s="1"/>
  <c r="M60" i="22"/>
  <c r="M59" i="22"/>
  <c r="M58" i="22"/>
  <c r="P58" i="22" s="1"/>
  <c r="M57" i="22"/>
  <c r="M23" i="22"/>
  <c r="M24" i="22"/>
  <c r="M26" i="22"/>
  <c r="M27" i="22"/>
  <c r="M28" i="22"/>
  <c r="M29" i="22"/>
  <c r="M30" i="22"/>
  <c r="P30" i="22" s="1"/>
  <c r="M31" i="22"/>
  <c r="M32" i="22"/>
  <c r="M33" i="22"/>
  <c r="M34" i="22"/>
  <c r="M35" i="22"/>
  <c r="M36" i="22"/>
  <c r="M37" i="22"/>
  <c r="M39" i="22"/>
  <c r="M40" i="22"/>
  <c r="M41" i="22"/>
  <c r="M42" i="22"/>
  <c r="M43" i="22"/>
  <c r="M44" i="22"/>
  <c r="M45" i="22"/>
  <c r="P45" i="22" s="1"/>
  <c r="M46" i="22"/>
  <c r="M47" i="22"/>
  <c r="P47" i="22" s="1"/>
  <c r="M48" i="22"/>
  <c r="M50" i="22"/>
  <c r="M51" i="22"/>
  <c r="M52" i="22"/>
  <c r="M53" i="22"/>
  <c r="M55" i="22"/>
  <c r="P55" i="22" s="1"/>
  <c r="M22" i="22"/>
  <c r="P22" i="22" s="1"/>
  <c r="O269" i="22"/>
  <c r="P269" i="22" s="1"/>
  <c r="O268" i="22"/>
  <c r="P268" i="22" s="1"/>
  <c r="O267" i="22"/>
  <c r="O266" i="22"/>
  <c r="P266" i="22" s="1"/>
  <c r="O265" i="22"/>
  <c r="P265" i="22" s="1"/>
  <c r="O264" i="22"/>
  <c r="P264" i="22" s="1"/>
  <c r="O263" i="22"/>
  <c r="P263" i="22" s="1"/>
  <c r="O262" i="22"/>
  <c r="P262" i="22" s="1"/>
  <c r="O261" i="22"/>
  <c r="O260" i="22"/>
  <c r="P260" i="22" s="1"/>
  <c r="O259" i="22"/>
  <c r="O258" i="22"/>
  <c r="P258" i="22" s="1"/>
  <c r="O257" i="22"/>
  <c r="P257" i="22" s="1"/>
  <c r="O256" i="22"/>
  <c r="O255" i="22"/>
  <c r="P255" i="22" s="1"/>
  <c r="O254" i="22"/>
  <c r="P253" i="22"/>
  <c r="O253" i="22"/>
  <c r="O252" i="22"/>
  <c r="O251" i="22"/>
  <c r="O250" i="22"/>
  <c r="P250" i="22" s="1"/>
  <c r="O249" i="22"/>
  <c r="P249" i="22" s="1"/>
  <c r="O248" i="22"/>
  <c r="O247" i="22"/>
  <c r="P247" i="22" s="1"/>
  <c r="O246" i="22"/>
  <c r="P246" i="22" s="1"/>
  <c r="O245" i="22"/>
  <c r="O244" i="22"/>
  <c r="P244" i="22" s="1"/>
  <c r="O243" i="22"/>
  <c r="O242" i="22"/>
  <c r="P242" i="22" s="1"/>
  <c r="O241" i="22"/>
  <c r="O240" i="22"/>
  <c r="P240" i="22" s="1"/>
  <c r="O239" i="22"/>
  <c r="P239" i="22" s="1"/>
  <c r="O238" i="22"/>
  <c r="P238" i="22" s="1"/>
  <c r="P237" i="22"/>
  <c r="O237" i="22"/>
  <c r="O236" i="22"/>
  <c r="P236" i="22" s="1"/>
  <c r="P235" i="22"/>
  <c r="O235" i="22"/>
  <c r="O234" i="22"/>
  <c r="P234" i="22" s="1"/>
  <c r="O233" i="22"/>
  <c r="P233" i="22" s="1"/>
  <c r="O232" i="22"/>
  <c r="P232" i="22" s="1"/>
  <c r="O231" i="22"/>
  <c r="P231" i="22" s="1"/>
  <c r="O230" i="22"/>
  <c r="P230" i="22" s="1"/>
  <c r="P229" i="22"/>
  <c r="O229" i="22"/>
  <c r="O228" i="22"/>
  <c r="P227" i="22"/>
  <c r="O227" i="22"/>
  <c r="O226" i="22"/>
  <c r="O225" i="22"/>
  <c r="O224" i="22"/>
  <c r="O223" i="22"/>
  <c r="O222" i="22"/>
  <c r="P222" i="22" s="1"/>
  <c r="O221" i="22"/>
  <c r="O220" i="22"/>
  <c r="P219" i="22"/>
  <c r="O219" i="22"/>
  <c r="O218" i="22"/>
  <c r="P218" i="22" s="1"/>
  <c r="O217" i="22"/>
  <c r="P217" i="22" s="1"/>
  <c r="O216" i="22"/>
  <c r="O215" i="22"/>
  <c r="O214" i="22"/>
  <c r="P214" i="22" s="1"/>
  <c r="P213" i="22"/>
  <c r="O213" i="22"/>
  <c r="O212" i="22"/>
  <c r="P212" i="22" s="1"/>
  <c r="P211" i="22"/>
  <c r="O211" i="22"/>
  <c r="O210" i="22"/>
  <c r="P210" i="22" s="1"/>
  <c r="O209" i="22"/>
  <c r="P209" i="22" s="1"/>
  <c r="O208" i="22"/>
  <c r="O207" i="22"/>
  <c r="P207" i="22" s="1"/>
  <c r="O206" i="22"/>
  <c r="P206" i="22" s="1"/>
  <c r="O205" i="22"/>
  <c r="O204" i="22"/>
  <c r="O203" i="22"/>
  <c r="O202" i="22"/>
  <c r="P202" i="22" s="1"/>
  <c r="O201" i="22"/>
  <c r="O200" i="22"/>
  <c r="O199" i="22"/>
  <c r="P199" i="22" s="1"/>
  <c r="O198" i="22"/>
  <c r="P198" i="22" s="1"/>
  <c r="O197" i="22"/>
  <c r="O196" i="22"/>
  <c r="P196" i="22" s="1"/>
  <c r="O195" i="22"/>
  <c r="O194" i="22"/>
  <c r="P194" i="22" s="1"/>
  <c r="O193" i="22"/>
  <c r="O192" i="22"/>
  <c r="P192" i="22" s="1"/>
  <c r="O191" i="22"/>
  <c r="O190" i="22"/>
  <c r="P189" i="22"/>
  <c r="O189" i="22"/>
  <c r="O188" i="22"/>
  <c r="P188" i="22" s="1"/>
  <c r="O187" i="22"/>
  <c r="O186" i="22"/>
  <c r="O185" i="22"/>
  <c r="P185" i="22" s="1"/>
  <c r="O184" i="22"/>
  <c r="O183" i="22"/>
  <c r="P183" i="22" s="1"/>
  <c r="O182" i="22"/>
  <c r="O181" i="22"/>
  <c r="O180" i="22"/>
  <c r="P179" i="22"/>
  <c r="O179" i="22"/>
  <c r="O178" i="22"/>
  <c r="P178" i="22" s="1"/>
  <c r="O177" i="22"/>
  <c r="P177" i="22" s="1"/>
  <c r="O176" i="22"/>
  <c r="O175" i="22"/>
  <c r="P175" i="22" s="1"/>
  <c r="O174" i="22"/>
  <c r="P173" i="22"/>
  <c r="O173" i="22"/>
  <c r="O172" i="22"/>
  <c r="O171" i="22"/>
  <c r="O170" i="22"/>
  <c r="P170" i="22" s="1"/>
  <c r="O169" i="22"/>
  <c r="P169" i="22" s="1"/>
  <c r="O168" i="22"/>
  <c r="O167" i="22"/>
  <c r="O166" i="22"/>
  <c r="P165" i="22"/>
  <c r="O165" i="22"/>
  <c r="O164" i="22"/>
  <c r="P164" i="22" s="1"/>
  <c r="O163" i="22"/>
  <c r="O162" i="22"/>
  <c r="O161" i="22"/>
  <c r="O160" i="22"/>
  <c r="P160" i="22" s="1"/>
  <c r="O159" i="22"/>
  <c r="O158" i="22"/>
  <c r="P158" i="22" s="1"/>
  <c r="O157" i="22"/>
  <c r="O156" i="22"/>
  <c r="P156" i="22" s="1"/>
  <c r="P155" i="22"/>
  <c r="O155" i="22"/>
  <c r="O154" i="22"/>
  <c r="P154" i="22" s="1"/>
  <c r="O153" i="22"/>
  <c r="P153" i="22" s="1"/>
  <c r="O152" i="22"/>
  <c r="P152" i="22" s="1"/>
  <c r="O151" i="22"/>
  <c r="P151" i="22" s="1"/>
  <c r="O150" i="22"/>
  <c r="P150" i="22" s="1"/>
  <c r="P149" i="22"/>
  <c r="O149" i="22"/>
  <c r="O148" i="22"/>
  <c r="P148" i="22" s="1"/>
  <c r="P147" i="22"/>
  <c r="O147" i="22"/>
  <c r="O146" i="22"/>
  <c r="P146" i="22" s="1"/>
  <c r="O145" i="22"/>
  <c r="P145" i="22" s="1"/>
  <c r="O144" i="22"/>
  <c r="O143" i="22"/>
  <c r="P143" i="22" s="1"/>
  <c r="O142" i="22"/>
  <c r="P142" i="22" s="1"/>
  <c r="O141" i="22"/>
  <c r="O140" i="22"/>
  <c r="P139" i="22"/>
  <c r="O139" i="22"/>
  <c r="O138" i="22"/>
  <c r="P138" i="22" s="1"/>
  <c r="O137" i="22"/>
  <c r="P137" i="22" s="1"/>
  <c r="O136" i="22"/>
  <c r="P136" i="22" s="1"/>
  <c r="O135" i="22"/>
  <c r="P135" i="22" s="1"/>
  <c r="O134" i="22"/>
  <c r="P134" i="22" s="1"/>
  <c r="P133" i="22"/>
  <c r="O133" i="22"/>
  <c r="O132" i="22"/>
  <c r="P132" i="22" s="1"/>
  <c r="O130" i="22"/>
  <c r="P130" i="22" s="1"/>
  <c r="O129" i="22"/>
  <c r="P129" i="22" s="1"/>
  <c r="P128" i="22"/>
  <c r="O128" i="22"/>
  <c r="O127" i="22"/>
  <c r="O126" i="22"/>
  <c r="P126" i="22" s="1"/>
  <c r="O125" i="22"/>
  <c r="P125" i="22" s="1"/>
  <c r="O124" i="22"/>
  <c r="P124" i="22" s="1"/>
  <c r="O123" i="22"/>
  <c r="P123" i="22" s="1"/>
  <c r="O122" i="22"/>
  <c r="P122" i="22" s="1"/>
  <c r="O121" i="22"/>
  <c r="P121" i="22" s="1"/>
  <c r="P120" i="22"/>
  <c r="O120" i="22"/>
  <c r="O119" i="22"/>
  <c r="P119" i="22" s="1"/>
  <c r="O118" i="22"/>
  <c r="O117" i="22"/>
  <c r="P117" i="22" s="1"/>
  <c r="O116" i="22"/>
  <c r="O115" i="22"/>
  <c r="O114" i="22"/>
  <c r="P114" i="22" s="1"/>
  <c r="O113" i="22"/>
  <c r="P113" i="22" s="1"/>
  <c r="P112" i="22"/>
  <c r="O112" i="22"/>
  <c r="O111" i="22"/>
  <c r="O110" i="22"/>
  <c r="P110" i="22" s="1"/>
  <c r="O109" i="22"/>
  <c r="P109" i="22" s="1"/>
  <c r="O108" i="22"/>
  <c r="P108" i="22" s="1"/>
  <c r="O107" i="22"/>
  <c r="P107" i="22" s="1"/>
  <c r="O106" i="22"/>
  <c r="P106" i="22" s="1"/>
  <c r="O105" i="22"/>
  <c r="P105" i="22" s="1"/>
  <c r="P104" i="22"/>
  <c r="O104" i="22"/>
  <c r="O103" i="22"/>
  <c r="P103" i="22" s="1"/>
  <c r="O102" i="22"/>
  <c r="O101" i="22"/>
  <c r="P101" i="22" s="1"/>
  <c r="O100" i="22"/>
  <c r="O99" i="22"/>
  <c r="O98" i="22"/>
  <c r="P98" i="22" s="1"/>
  <c r="O97" i="22"/>
  <c r="P97" i="22" s="1"/>
  <c r="P96" i="22"/>
  <c r="O96" i="22"/>
  <c r="O95" i="22"/>
  <c r="P95" i="22" s="1"/>
  <c r="O94" i="22"/>
  <c r="P94" i="22" s="1"/>
  <c r="O93" i="22"/>
  <c r="P93" i="22" s="1"/>
  <c r="O92" i="22"/>
  <c r="P92" i="22" s="1"/>
  <c r="O91" i="22"/>
  <c r="O90" i="22"/>
  <c r="P90" i="22" s="1"/>
  <c r="O89" i="22"/>
  <c r="P89" i="22" s="1"/>
  <c r="P88" i="22"/>
  <c r="O88" i="22"/>
  <c r="O87" i="22"/>
  <c r="P87" i="22" s="1"/>
  <c r="O86" i="22"/>
  <c r="O85" i="22"/>
  <c r="P85" i="22" s="1"/>
  <c r="O84" i="22"/>
  <c r="O83" i="22"/>
  <c r="O82" i="22"/>
  <c r="P82" i="22" s="1"/>
  <c r="O81" i="22"/>
  <c r="P81" i="22" s="1"/>
  <c r="P80" i="22"/>
  <c r="O80" i="22"/>
  <c r="O79" i="22"/>
  <c r="P79" i="22" s="1"/>
  <c r="O78" i="22"/>
  <c r="P78" i="22" s="1"/>
  <c r="O77" i="22"/>
  <c r="P77" i="22" s="1"/>
  <c r="O76" i="22"/>
  <c r="P76" i="22" s="1"/>
  <c r="O75" i="22"/>
  <c r="O74" i="22"/>
  <c r="P74" i="22" s="1"/>
  <c r="O73" i="22"/>
  <c r="P73" i="22" s="1"/>
  <c r="P72" i="22"/>
  <c r="O72" i="22"/>
  <c r="O71" i="22"/>
  <c r="P71" i="22" s="1"/>
  <c r="O70" i="22"/>
  <c r="O69" i="22"/>
  <c r="P69" i="22" s="1"/>
  <c r="O67" i="22"/>
  <c r="O66" i="22"/>
  <c r="P66" i="22" s="1"/>
  <c r="O64" i="22"/>
  <c r="O63" i="22"/>
  <c r="P63" i="22" s="1"/>
  <c r="O61" i="22"/>
  <c r="O60" i="22"/>
  <c r="P60" i="22" s="1"/>
  <c r="O59" i="22"/>
  <c r="P59" i="22" s="1"/>
  <c r="O58" i="22"/>
  <c r="O57" i="22"/>
  <c r="P57" i="22" s="1"/>
  <c r="O35" i="22"/>
  <c r="P35" i="22" s="1"/>
  <c r="O36" i="22"/>
  <c r="P36" i="22" s="1"/>
  <c r="O37" i="22"/>
  <c r="P37" i="22"/>
  <c r="O39" i="22"/>
  <c r="P39" i="22"/>
  <c r="O40" i="22"/>
  <c r="P40" i="22" s="1"/>
  <c r="O41" i="22"/>
  <c r="P41" i="22"/>
  <c r="O42" i="22"/>
  <c r="P42" i="22"/>
  <c r="O43" i="22"/>
  <c r="O44" i="22"/>
  <c r="O45" i="22"/>
  <c r="O46" i="22"/>
  <c r="O47" i="22"/>
  <c r="O48" i="22"/>
  <c r="P48" i="22" s="1"/>
  <c r="O50" i="22"/>
  <c r="P50" i="22"/>
  <c r="O51" i="22"/>
  <c r="P51" i="22"/>
  <c r="O52" i="22"/>
  <c r="P52" i="22" s="1"/>
  <c r="O53" i="22"/>
  <c r="P53" i="22"/>
  <c r="O55" i="22"/>
  <c r="O23" i="22"/>
  <c r="O24" i="22"/>
  <c r="P24" i="22"/>
  <c r="O26" i="22"/>
  <c r="P26" i="22"/>
  <c r="O27" i="22"/>
  <c r="P27" i="22"/>
  <c r="O28" i="22"/>
  <c r="P28" i="22"/>
  <c r="O29" i="22"/>
  <c r="O30" i="22"/>
  <c r="O31" i="22"/>
  <c r="O32" i="22"/>
  <c r="P32" i="22"/>
  <c r="O33" i="22"/>
  <c r="P33" i="22" s="1"/>
  <c r="O34" i="22"/>
  <c r="P34" i="22"/>
  <c r="G27" i="23"/>
  <c r="G16" i="23"/>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105" i="22"/>
  <c r="R106" i="22"/>
  <c r="R107" i="22"/>
  <c r="R108" i="22"/>
  <c r="R109" i="22"/>
  <c r="R110" i="22"/>
  <c r="R111" i="22"/>
  <c r="R112" i="22"/>
  <c r="R113" i="22"/>
  <c r="R114" i="22"/>
  <c r="R115" i="22"/>
  <c r="R116" i="22"/>
  <c r="R117" i="22"/>
  <c r="R118" i="22"/>
  <c r="R119" i="22"/>
  <c r="R120" i="22"/>
  <c r="R121" i="22"/>
  <c r="R122" i="22"/>
  <c r="R123" i="22"/>
  <c r="R124" i="22"/>
  <c r="R125" i="22"/>
  <c r="R126" i="22"/>
  <c r="R127" i="22"/>
  <c r="R128" i="22"/>
  <c r="R129" i="22"/>
  <c r="R130" i="22"/>
  <c r="R131" i="22"/>
  <c r="R132" i="22"/>
  <c r="R133" i="22"/>
  <c r="R134" i="22"/>
  <c r="R135" i="22"/>
  <c r="R136" i="22"/>
  <c r="R137" i="22"/>
  <c r="R138" i="22"/>
  <c r="R139" i="22"/>
  <c r="R140" i="22"/>
  <c r="R141" i="22"/>
  <c r="R142" i="22"/>
  <c r="R143" i="22"/>
  <c r="R144" i="22"/>
  <c r="R145" i="22"/>
  <c r="R146" i="22"/>
  <c r="R147" i="22"/>
  <c r="R148" i="22"/>
  <c r="R149" i="22"/>
  <c r="R150" i="22"/>
  <c r="R151" i="22"/>
  <c r="R152" i="22"/>
  <c r="R153" i="22"/>
  <c r="R154" i="22"/>
  <c r="R155" i="22"/>
  <c r="R156" i="22"/>
  <c r="R157" i="22"/>
  <c r="R158" i="22"/>
  <c r="R159" i="22"/>
  <c r="R160" i="22"/>
  <c r="R161" i="22"/>
  <c r="R162" i="22"/>
  <c r="R163" i="22"/>
  <c r="R164" i="22"/>
  <c r="R165" i="22"/>
  <c r="R166" i="22"/>
  <c r="R167" i="22"/>
  <c r="R168" i="22"/>
  <c r="R169" i="22"/>
  <c r="R170" i="22"/>
  <c r="R171" i="22"/>
  <c r="R172" i="22"/>
  <c r="R173" i="22"/>
  <c r="R174" i="22"/>
  <c r="R175" i="22"/>
  <c r="R176" i="22"/>
  <c r="R177" i="22"/>
  <c r="R178" i="22"/>
  <c r="R179" i="22"/>
  <c r="R180" i="22"/>
  <c r="R181" i="22"/>
  <c r="R182" i="22"/>
  <c r="R183" i="22"/>
  <c r="R184" i="22"/>
  <c r="R185" i="22"/>
  <c r="R186" i="22"/>
  <c r="R187" i="22"/>
  <c r="R188" i="22"/>
  <c r="R189" i="22"/>
  <c r="R190" i="22"/>
  <c r="R191" i="22"/>
  <c r="R192" i="22"/>
  <c r="R193" i="22"/>
  <c r="R194" i="22"/>
  <c r="R195" i="22"/>
  <c r="R196" i="22"/>
  <c r="R197" i="22"/>
  <c r="R198" i="22"/>
  <c r="R199" i="22"/>
  <c r="R200" i="22"/>
  <c r="R201" i="22"/>
  <c r="R202" i="22"/>
  <c r="R203" i="22"/>
  <c r="R204" i="22"/>
  <c r="R205" i="22"/>
  <c r="R206" i="22"/>
  <c r="R207" i="22"/>
  <c r="R208" i="22"/>
  <c r="R209" i="22"/>
  <c r="R210" i="22"/>
  <c r="R211" i="22"/>
  <c r="R212" i="22"/>
  <c r="R213" i="22"/>
  <c r="R214" i="22"/>
  <c r="R215" i="22"/>
  <c r="R216" i="22"/>
  <c r="R217" i="22"/>
  <c r="R218" i="22"/>
  <c r="R219" i="22"/>
  <c r="R220" i="22"/>
  <c r="R221" i="22"/>
  <c r="R222" i="22"/>
  <c r="R223" i="22"/>
  <c r="R224" i="22"/>
  <c r="R225" i="22"/>
  <c r="R226" i="22"/>
  <c r="R227" i="22"/>
  <c r="R228" i="22"/>
  <c r="R229" i="22"/>
  <c r="R230" i="22"/>
  <c r="R234" i="22"/>
  <c r="R235" i="22"/>
  <c r="R236" i="22"/>
  <c r="R237" i="22"/>
  <c r="R239" i="22"/>
  <c r="R240" i="22"/>
  <c r="R241" i="22"/>
  <c r="R242" i="22"/>
  <c r="R243" i="22"/>
  <c r="R244" i="22"/>
  <c r="R245" i="22"/>
  <c r="R246" i="22"/>
  <c r="R247" i="22"/>
  <c r="R248" i="22"/>
  <c r="R249" i="22"/>
  <c r="R250" i="22"/>
  <c r="R251" i="22"/>
  <c r="R252" i="22"/>
  <c r="R253" i="22"/>
  <c r="R254" i="22"/>
  <c r="R255" i="22"/>
  <c r="R256" i="22"/>
  <c r="R257" i="22"/>
  <c r="R258" i="22"/>
  <c r="R259" i="22"/>
  <c r="R260" i="22"/>
  <c r="R261" i="22"/>
  <c r="R262" i="22"/>
  <c r="R263" i="22"/>
  <c r="R264" i="22"/>
  <c r="R265" i="22"/>
  <c r="R266" i="22"/>
  <c r="R267" i="22"/>
  <c r="R268" i="22"/>
  <c r="R269" i="22"/>
  <c r="R22" i="22"/>
  <c r="H238" i="22"/>
  <c r="K238" i="22" s="1"/>
  <c r="I238" i="22"/>
  <c r="L238" i="22" s="1"/>
  <c r="G238" i="22"/>
  <c r="J238" i="22" s="1"/>
  <c r="I233" i="22"/>
  <c r="L233" i="22" s="1"/>
  <c r="H233" i="22"/>
  <c r="G233" i="22"/>
  <c r="R233" i="22" s="1"/>
  <c r="I232" i="22"/>
  <c r="L232" i="22" s="1"/>
  <c r="H232" i="22"/>
  <c r="K232" i="22" s="1"/>
  <c r="G232" i="22"/>
  <c r="R232" i="22" s="1"/>
  <c r="H231" i="22"/>
  <c r="G231" i="22"/>
  <c r="J231" i="22" s="1"/>
  <c r="I215" i="22"/>
  <c r="H215" i="22"/>
  <c r="I204" i="22"/>
  <c r="L204" i="22" s="1"/>
  <c r="H204" i="22"/>
  <c r="K204" i="22" s="1"/>
  <c r="I202" i="22"/>
  <c r="L202" i="22" s="1"/>
  <c r="H202" i="22"/>
  <c r="K202" i="22" s="1"/>
  <c r="I167" i="22"/>
  <c r="L167" i="22" s="1"/>
  <c r="H167" i="22"/>
  <c r="K167" i="22" s="1"/>
  <c r="I165" i="22"/>
  <c r="H165" i="22"/>
  <c r="I161" i="22"/>
  <c r="L161" i="22" s="1"/>
  <c r="H161" i="22"/>
  <c r="K161" i="22" s="1"/>
  <c r="I160" i="22"/>
  <c r="L160" i="22" s="1"/>
  <c r="H160" i="22"/>
  <c r="K160" i="22" s="1"/>
  <c r="I159" i="22"/>
  <c r="L159" i="22" s="1"/>
  <c r="H159" i="22"/>
  <c r="K159" i="22" s="1"/>
  <c r="I149" i="22"/>
  <c r="H149" i="22"/>
  <c r="I130" i="22"/>
  <c r="H130" i="22"/>
  <c r="K130" i="22" s="1"/>
  <c r="I126" i="22"/>
  <c r="L126" i="22" s="1"/>
  <c r="H126" i="22"/>
  <c r="K126" i="22" s="1"/>
  <c r="H45" i="22"/>
  <c r="K45" i="22" s="1"/>
  <c r="I45" i="22"/>
  <c r="L45" i="22" s="1"/>
  <c r="L269" i="22"/>
  <c r="K269" i="22"/>
  <c r="L268" i="22"/>
  <c r="K268" i="22"/>
  <c r="L267" i="22"/>
  <c r="K267" i="22"/>
  <c r="L266" i="22"/>
  <c r="K266" i="22"/>
  <c r="L265" i="22"/>
  <c r="K265" i="22"/>
  <c r="L264" i="22"/>
  <c r="K264" i="22"/>
  <c r="L263" i="22"/>
  <c r="K263" i="22"/>
  <c r="L262" i="22"/>
  <c r="K262" i="22"/>
  <c r="L261" i="22"/>
  <c r="K261" i="22"/>
  <c r="L260" i="22"/>
  <c r="K260" i="22"/>
  <c r="L259" i="22"/>
  <c r="K259" i="22"/>
  <c r="L258" i="22"/>
  <c r="K258" i="22"/>
  <c r="L257" i="22"/>
  <c r="K257" i="22"/>
  <c r="L256" i="22"/>
  <c r="K256" i="22"/>
  <c r="L255" i="22"/>
  <c r="K255" i="22"/>
  <c r="L254" i="22"/>
  <c r="K254" i="22"/>
  <c r="L253" i="22"/>
  <c r="K253" i="22"/>
  <c r="L252" i="22"/>
  <c r="K252" i="22"/>
  <c r="L251" i="22"/>
  <c r="K251" i="22"/>
  <c r="L250" i="22"/>
  <c r="K250" i="22"/>
  <c r="L249" i="22"/>
  <c r="K249" i="22"/>
  <c r="L248" i="22"/>
  <c r="K248" i="22"/>
  <c r="L247" i="22"/>
  <c r="K247" i="22"/>
  <c r="L246" i="22"/>
  <c r="K246" i="22"/>
  <c r="L245" i="22"/>
  <c r="K245" i="22"/>
  <c r="L244" i="22"/>
  <c r="K244" i="22"/>
  <c r="L243" i="22"/>
  <c r="K243" i="22"/>
  <c r="L242" i="22"/>
  <c r="K242" i="22"/>
  <c r="L240" i="22"/>
  <c r="K240" i="22"/>
  <c r="L239" i="22"/>
  <c r="K239" i="22"/>
  <c r="L237" i="22"/>
  <c r="K237" i="22"/>
  <c r="L236" i="22"/>
  <c r="K236" i="22"/>
  <c r="L235" i="22"/>
  <c r="K235" i="22"/>
  <c r="L234" i="22"/>
  <c r="K234" i="22"/>
  <c r="K233" i="22"/>
  <c r="L231" i="22"/>
  <c r="K231" i="22"/>
  <c r="L230" i="22"/>
  <c r="K230" i="22"/>
  <c r="L229" i="22"/>
  <c r="K229" i="22"/>
  <c r="L228" i="22"/>
  <c r="K228" i="22"/>
  <c r="L227" i="22"/>
  <c r="K227" i="22"/>
  <c r="L226" i="22"/>
  <c r="K226" i="22"/>
  <c r="L225" i="22"/>
  <c r="K225" i="22"/>
  <c r="L224" i="22"/>
  <c r="K224" i="22"/>
  <c r="L223" i="22"/>
  <c r="K223" i="22"/>
  <c r="L222" i="22"/>
  <c r="K222" i="22"/>
  <c r="L221" i="22"/>
  <c r="K221" i="22"/>
  <c r="L220" i="22"/>
  <c r="K220" i="22"/>
  <c r="L219" i="22"/>
  <c r="K219" i="22"/>
  <c r="L218" i="22"/>
  <c r="K218" i="22"/>
  <c r="L217" i="22"/>
  <c r="K217" i="22"/>
  <c r="L215" i="22"/>
  <c r="K215" i="22"/>
  <c r="L214" i="22"/>
  <c r="K214" i="22"/>
  <c r="L213" i="22"/>
  <c r="K213" i="22"/>
  <c r="L212" i="22"/>
  <c r="K212" i="22"/>
  <c r="L211" i="22"/>
  <c r="K211" i="22"/>
  <c r="L210" i="22"/>
  <c r="K210" i="22"/>
  <c r="L209" i="22"/>
  <c r="K209" i="22"/>
  <c r="L207" i="22"/>
  <c r="K207" i="22"/>
  <c r="L206" i="22"/>
  <c r="K206" i="22"/>
  <c r="L201" i="22"/>
  <c r="K201" i="22"/>
  <c r="L200" i="22"/>
  <c r="K200" i="22"/>
  <c r="L199" i="22"/>
  <c r="K199" i="22"/>
  <c r="L198" i="22"/>
  <c r="K198" i="22"/>
  <c r="L197" i="22"/>
  <c r="K197" i="22"/>
  <c r="L196" i="22"/>
  <c r="K196" i="22"/>
  <c r="L195" i="22"/>
  <c r="K195" i="22"/>
  <c r="L194" i="22"/>
  <c r="K194" i="22"/>
  <c r="L193" i="22"/>
  <c r="K193" i="22"/>
  <c r="L192" i="22"/>
  <c r="K192" i="22"/>
  <c r="L190" i="22"/>
  <c r="K190" i="22"/>
  <c r="L189" i="22"/>
  <c r="K189" i="22"/>
  <c r="L188" i="22"/>
  <c r="K188" i="22"/>
  <c r="L186" i="22"/>
  <c r="K186" i="22"/>
  <c r="L185" i="22"/>
  <c r="K185" i="22"/>
  <c r="L184" i="22"/>
  <c r="K184" i="22"/>
  <c r="L183" i="22"/>
  <c r="K183" i="22"/>
  <c r="L181" i="22"/>
  <c r="K181" i="22"/>
  <c r="L180" i="22"/>
  <c r="K180" i="22"/>
  <c r="L179" i="22"/>
  <c r="K179" i="22"/>
  <c r="L178" i="22"/>
  <c r="K178" i="22"/>
  <c r="L177" i="22"/>
  <c r="K177" i="22"/>
  <c r="L176" i="22"/>
  <c r="K176" i="22"/>
  <c r="L175" i="22"/>
  <c r="K175" i="22"/>
  <c r="L173" i="22"/>
  <c r="K173" i="22"/>
  <c r="L172" i="22"/>
  <c r="K172" i="22"/>
  <c r="L171" i="22"/>
  <c r="K171" i="22"/>
  <c r="L170" i="22"/>
  <c r="K170" i="22"/>
  <c r="L169" i="22"/>
  <c r="K169" i="22"/>
  <c r="L166" i="22"/>
  <c r="K166" i="22"/>
  <c r="L165" i="22"/>
  <c r="K165" i="22"/>
  <c r="L164" i="22"/>
  <c r="K164" i="22"/>
  <c r="L163" i="22"/>
  <c r="K163" i="22"/>
  <c r="L158" i="22"/>
  <c r="K158" i="22"/>
  <c r="L156" i="22"/>
  <c r="K156" i="22"/>
  <c r="L155" i="22"/>
  <c r="K155" i="22"/>
  <c r="L154" i="22"/>
  <c r="K154" i="22"/>
  <c r="L153" i="22"/>
  <c r="K153" i="22"/>
  <c r="L152" i="22"/>
  <c r="K152" i="22"/>
  <c r="L151" i="22"/>
  <c r="K151" i="22"/>
  <c r="L150" i="22"/>
  <c r="K150" i="22"/>
  <c r="L149" i="22"/>
  <c r="K149" i="22"/>
  <c r="L148" i="22"/>
  <c r="K148" i="22"/>
  <c r="L147" i="22"/>
  <c r="K147" i="22"/>
  <c r="L146" i="22"/>
  <c r="K146" i="22"/>
  <c r="L145" i="22"/>
  <c r="K145" i="22"/>
  <c r="L144" i="22"/>
  <c r="K144" i="22"/>
  <c r="L143" i="22"/>
  <c r="K143" i="22"/>
  <c r="L142" i="22"/>
  <c r="K142" i="22"/>
  <c r="L141" i="22"/>
  <c r="K141" i="22"/>
  <c r="L140" i="22"/>
  <c r="K140" i="22"/>
  <c r="L139" i="22"/>
  <c r="K139" i="22"/>
  <c r="L138" i="22"/>
  <c r="K138" i="22"/>
  <c r="L137" i="22"/>
  <c r="K137" i="22"/>
  <c r="L136" i="22"/>
  <c r="K136" i="22"/>
  <c r="L135" i="22"/>
  <c r="K135" i="22"/>
  <c r="L134" i="22"/>
  <c r="K134" i="22"/>
  <c r="L133" i="22"/>
  <c r="K133" i="22"/>
  <c r="L132" i="22"/>
  <c r="K132" i="22"/>
  <c r="L130" i="22"/>
  <c r="L129" i="22"/>
  <c r="K129" i="22"/>
  <c r="L128" i="22"/>
  <c r="K128" i="22"/>
  <c r="L127" i="22"/>
  <c r="K127" i="22"/>
  <c r="L125" i="22"/>
  <c r="K125" i="22"/>
  <c r="L124" i="22"/>
  <c r="K124" i="22"/>
  <c r="L123" i="22"/>
  <c r="K123" i="22"/>
  <c r="L122" i="22"/>
  <c r="K122" i="22"/>
  <c r="L121" i="22"/>
  <c r="K121" i="22"/>
  <c r="L120" i="22"/>
  <c r="K120" i="22"/>
  <c r="L119" i="22"/>
  <c r="K119" i="22"/>
  <c r="L118" i="22"/>
  <c r="K118" i="22"/>
  <c r="L117" i="22"/>
  <c r="K117" i="22"/>
  <c r="L116" i="22"/>
  <c r="K116" i="22"/>
  <c r="L115" i="22"/>
  <c r="K115" i="22"/>
  <c r="L114" i="22"/>
  <c r="K114" i="22"/>
  <c r="L113" i="22"/>
  <c r="K113" i="22"/>
  <c r="L112" i="22"/>
  <c r="K112" i="22"/>
  <c r="L111" i="22"/>
  <c r="K111" i="22"/>
  <c r="L110" i="22"/>
  <c r="K110" i="22"/>
  <c r="L109" i="22"/>
  <c r="K109" i="22"/>
  <c r="L108" i="22"/>
  <c r="K108" i="22"/>
  <c r="L107" i="22"/>
  <c r="K107" i="22"/>
  <c r="L106" i="22"/>
  <c r="K106" i="22"/>
  <c r="L105" i="22"/>
  <c r="K105" i="22"/>
  <c r="L104" i="22"/>
  <c r="K104" i="22"/>
  <c r="L103" i="22"/>
  <c r="K103" i="22"/>
  <c r="L102" i="22"/>
  <c r="K102" i="22"/>
  <c r="L101" i="22"/>
  <c r="K101" i="22"/>
  <c r="L100" i="22"/>
  <c r="K100" i="22"/>
  <c r="L99" i="22"/>
  <c r="K99" i="22"/>
  <c r="L98" i="22"/>
  <c r="K98" i="22"/>
  <c r="L97" i="22"/>
  <c r="K97" i="22"/>
  <c r="L96" i="22"/>
  <c r="K96" i="22"/>
  <c r="L95" i="22"/>
  <c r="K95" i="22"/>
  <c r="L94" i="22"/>
  <c r="K94" i="22"/>
  <c r="L93" i="22"/>
  <c r="K93" i="22"/>
  <c r="L92" i="22"/>
  <c r="K92" i="22"/>
  <c r="L91" i="22"/>
  <c r="K91" i="22"/>
  <c r="L90" i="22"/>
  <c r="K90" i="22"/>
  <c r="L89" i="22"/>
  <c r="K89" i="22"/>
  <c r="L88" i="22"/>
  <c r="K88" i="22"/>
  <c r="L87" i="22"/>
  <c r="K87" i="22"/>
  <c r="L86" i="22"/>
  <c r="K86" i="22"/>
  <c r="L85" i="22"/>
  <c r="K85" i="22"/>
  <c r="L84" i="22"/>
  <c r="K84" i="22"/>
  <c r="L83" i="22"/>
  <c r="K83" i="22"/>
  <c r="L82" i="22"/>
  <c r="K82" i="22"/>
  <c r="L81" i="22"/>
  <c r="K81" i="22"/>
  <c r="L80" i="22"/>
  <c r="K80" i="22"/>
  <c r="L79" i="22"/>
  <c r="K79" i="22"/>
  <c r="L78" i="22"/>
  <c r="K78" i="22"/>
  <c r="L77" i="22"/>
  <c r="K77" i="22"/>
  <c r="L76" i="22"/>
  <c r="K76" i="22"/>
  <c r="L75" i="22"/>
  <c r="K75" i="22"/>
  <c r="L74" i="22"/>
  <c r="K74" i="22"/>
  <c r="L73" i="22"/>
  <c r="K73" i="22"/>
  <c r="L72" i="22"/>
  <c r="K72" i="22"/>
  <c r="L71" i="22"/>
  <c r="K71" i="22"/>
  <c r="L70" i="22"/>
  <c r="K70" i="22"/>
  <c r="L69" i="22"/>
  <c r="K69" i="22"/>
  <c r="L67" i="22"/>
  <c r="K67" i="22"/>
  <c r="L66" i="22"/>
  <c r="K66" i="22"/>
  <c r="L64" i="22"/>
  <c r="K64" i="22"/>
  <c r="L63" i="22"/>
  <c r="K63" i="22"/>
  <c r="L61" i="22"/>
  <c r="K61" i="22"/>
  <c r="L60" i="22"/>
  <c r="K60" i="22"/>
  <c r="L59" i="22"/>
  <c r="K59" i="22"/>
  <c r="L58" i="22"/>
  <c r="K58" i="22"/>
  <c r="L57" i="22"/>
  <c r="K57"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K39" i="22"/>
  <c r="L39" i="22"/>
  <c r="K40" i="22"/>
  <c r="L40" i="22"/>
  <c r="K41" i="22"/>
  <c r="L41" i="22"/>
  <c r="K42" i="22"/>
  <c r="L42" i="22"/>
  <c r="K43" i="22"/>
  <c r="L43" i="22"/>
  <c r="K44" i="22"/>
  <c r="L44" i="22"/>
  <c r="K46" i="22"/>
  <c r="L46" i="22"/>
  <c r="K47" i="22"/>
  <c r="L47" i="22"/>
  <c r="K48" i="22"/>
  <c r="L48" i="22"/>
  <c r="K49" i="22"/>
  <c r="L49" i="22"/>
  <c r="M49" i="22" s="1"/>
  <c r="K50" i="22"/>
  <c r="L50" i="22"/>
  <c r="K51" i="22"/>
  <c r="L51" i="22"/>
  <c r="K52" i="22"/>
  <c r="L52" i="22"/>
  <c r="K53" i="22"/>
  <c r="L53" i="22"/>
  <c r="K54" i="22"/>
  <c r="L54" i="22"/>
  <c r="M54" i="22" s="1"/>
  <c r="K55" i="22"/>
  <c r="L55" i="22"/>
  <c r="L22"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0" i="22"/>
  <c r="J239" i="22"/>
  <c r="J237" i="22"/>
  <c r="J236" i="22"/>
  <c r="J235" i="22"/>
  <c r="J234" i="22"/>
  <c r="J233" i="22"/>
  <c r="J230" i="22"/>
  <c r="J229" i="22"/>
  <c r="J228" i="22"/>
  <c r="J227" i="22"/>
  <c r="J226" i="22"/>
  <c r="J225" i="22"/>
  <c r="J224" i="22"/>
  <c r="J223" i="22"/>
  <c r="J222" i="22"/>
  <c r="J221" i="22"/>
  <c r="J220" i="22"/>
  <c r="J219" i="22"/>
  <c r="J218" i="22"/>
  <c r="J217" i="22"/>
  <c r="J215" i="22"/>
  <c r="J214" i="22"/>
  <c r="J213" i="22"/>
  <c r="J212" i="22"/>
  <c r="J211" i="22"/>
  <c r="J210" i="22"/>
  <c r="J209" i="22"/>
  <c r="J207" i="22"/>
  <c r="J206" i="22"/>
  <c r="J204" i="22"/>
  <c r="J202" i="22"/>
  <c r="J201" i="22"/>
  <c r="J200" i="22"/>
  <c r="J199" i="22"/>
  <c r="J198" i="22"/>
  <c r="J197" i="22"/>
  <c r="J196" i="22"/>
  <c r="J195" i="22"/>
  <c r="J194" i="22"/>
  <c r="J193" i="22"/>
  <c r="J192" i="22"/>
  <c r="J190" i="22"/>
  <c r="J189" i="22"/>
  <c r="J188" i="22"/>
  <c r="J186" i="22"/>
  <c r="J185" i="22"/>
  <c r="J184" i="22"/>
  <c r="J183" i="22"/>
  <c r="J181" i="22"/>
  <c r="J180" i="22"/>
  <c r="J179" i="22"/>
  <c r="J178" i="22"/>
  <c r="J177" i="22"/>
  <c r="J176" i="22"/>
  <c r="J175" i="22"/>
  <c r="J173" i="22"/>
  <c r="J172" i="22"/>
  <c r="J171" i="22"/>
  <c r="J170" i="22"/>
  <c r="J169" i="22"/>
  <c r="J167" i="22"/>
  <c r="J166" i="22"/>
  <c r="J165" i="22"/>
  <c r="J164" i="22"/>
  <c r="J163" i="22"/>
  <c r="J161" i="22"/>
  <c r="J160" i="22"/>
  <c r="J159" i="22"/>
  <c r="J158"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7" i="22"/>
  <c r="J66" i="22"/>
  <c r="J64" i="22"/>
  <c r="J63" i="22"/>
  <c r="J61" i="22"/>
  <c r="J60" i="22"/>
  <c r="J59" i="22"/>
  <c r="J58" i="22"/>
  <c r="J57"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K22" i="22"/>
  <c r="O22" i="22" s="1"/>
  <c r="J22" i="22"/>
  <c r="O38" i="22" l="1"/>
  <c r="M38" i="22"/>
  <c r="P38" i="22" s="1"/>
  <c r="O25" i="22"/>
  <c r="M25" i="22"/>
  <c r="P25" i="22" s="1"/>
  <c r="O54" i="22"/>
  <c r="P54" i="22" s="1"/>
  <c r="O49" i="22"/>
  <c r="P49" i="22" s="1"/>
  <c r="P252" i="22"/>
  <c r="P254" i="22"/>
  <c r="P256" i="22"/>
  <c r="P248" i="22"/>
  <c r="P261" i="22"/>
  <c r="P228" i="22"/>
  <c r="P220" i="22"/>
  <c r="P223" i="22"/>
  <c r="P224" i="22"/>
  <c r="P225" i="22"/>
  <c r="P226" i="22"/>
  <c r="P215" i="22"/>
  <c r="P204" i="22"/>
  <c r="M203" i="22"/>
  <c r="P203" i="22" s="1"/>
  <c r="P200" i="22"/>
  <c r="P201" i="22"/>
  <c r="P193" i="22"/>
  <c r="P190" i="22"/>
  <c r="P182" i="22"/>
  <c r="P184" i="22"/>
  <c r="P186" i="22"/>
  <c r="P176" i="22"/>
  <c r="P180" i="22"/>
  <c r="P172" i="22"/>
  <c r="P166" i="22"/>
  <c r="P167" i="22"/>
  <c r="P161" i="22"/>
  <c r="P159" i="22"/>
  <c r="P144" i="22"/>
  <c r="P140" i="22"/>
  <c r="P111" i="22"/>
  <c r="P83" i="22"/>
  <c r="P70" i="22"/>
  <c r="P84" i="22"/>
  <c r="P127" i="22"/>
  <c r="P99" i="22"/>
  <c r="P86" i="22"/>
  <c r="P100" i="22"/>
  <c r="P115" i="22"/>
  <c r="P102" i="22"/>
  <c r="P116" i="22"/>
  <c r="P75" i="22"/>
  <c r="P118" i="22"/>
  <c r="P91" i="22"/>
  <c r="P67" i="22"/>
  <c r="P46" i="22"/>
  <c r="P23" i="22"/>
  <c r="P31" i="22"/>
  <c r="P44" i="22"/>
  <c r="P43" i="22"/>
  <c r="P29" i="22"/>
  <c r="M241" i="22"/>
  <c r="P241" i="22" s="1"/>
  <c r="J232" i="22"/>
  <c r="R231" i="22"/>
  <c r="R270" i="22" s="1"/>
  <c r="L272" i="22" s="1"/>
  <c r="L270" i="22"/>
  <c r="M162" i="22"/>
  <c r="P162" i="22" s="1"/>
  <c r="M182" i="22"/>
  <c r="M65" i="22"/>
  <c r="M131" i="22"/>
  <c r="C46" i="20"/>
  <c r="M205" i="22"/>
  <c r="P205" i="22" s="1"/>
  <c r="M168" i="22"/>
  <c r="P168" i="22" s="1"/>
  <c r="M187" i="22"/>
  <c r="P187" i="22" s="1"/>
  <c r="M208" i="22"/>
  <c r="P208" i="22" s="1"/>
  <c r="M21" i="22"/>
  <c r="M191" i="22"/>
  <c r="P191" i="22" s="1"/>
  <c r="M174" i="22"/>
  <c r="P174" i="22" s="1"/>
  <c r="M56" i="22"/>
  <c r="M157" i="22"/>
  <c r="P157" i="22" s="1"/>
  <c r="M216" i="22"/>
  <c r="P216" i="22" s="1"/>
  <c r="K270" i="22"/>
  <c r="M62" i="22"/>
  <c r="M68" i="22"/>
  <c r="R238" i="22"/>
  <c r="C54" i="20" l="1"/>
  <c r="M270" i="22"/>
  <c r="L274" i="22" s="1"/>
  <c r="N234" i="22" s="1"/>
  <c r="N53" i="22"/>
  <c r="N259" i="22"/>
  <c r="N240" i="22"/>
  <c r="N224" i="22"/>
  <c r="N235" i="22"/>
  <c r="N49" i="22"/>
  <c r="C52" i="20"/>
  <c r="N216" i="22"/>
  <c r="N174" i="22"/>
  <c r="C38" i="20"/>
  <c r="N207" i="22"/>
  <c r="N206" i="22"/>
  <c r="N117" i="22"/>
  <c r="C48" i="20"/>
  <c r="N59" i="22"/>
  <c r="N262" i="22"/>
  <c r="N247" i="22"/>
  <c r="N21" i="22"/>
  <c r="C20" i="20"/>
  <c r="C42" i="20"/>
  <c r="N187" i="22"/>
  <c r="N167" i="22"/>
  <c r="N184" i="22"/>
  <c r="N221" i="22"/>
  <c r="N263" i="22"/>
  <c r="N196" i="22"/>
  <c r="N122" i="22"/>
  <c r="N138" i="22"/>
  <c r="N45" i="22"/>
  <c r="N227" i="22"/>
  <c r="N169" i="22"/>
  <c r="N149" i="22"/>
  <c r="N223" i="22"/>
  <c r="N147" i="22"/>
  <c r="N201" i="22"/>
  <c r="N220" i="22"/>
  <c r="N186" i="22"/>
  <c r="N157" i="22"/>
  <c r="C32" i="20"/>
  <c r="N228" i="22"/>
  <c r="N50" i="22"/>
  <c r="C36" i="20"/>
  <c r="N168" i="22"/>
  <c r="N48" i="22"/>
  <c r="N185" i="22"/>
  <c r="N130" i="22"/>
  <c r="N183" i="22"/>
  <c r="N162" i="22"/>
  <c r="C34" i="20"/>
  <c r="N178" i="22"/>
  <c r="N191" i="22"/>
  <c r="C44" i="20"/>
  <c r="C40" i="20"/>
  <c r="N182" i="22"/>
  <c r="N163" i="22"/>
  <c r="N133" i="22"/>
  <c r="N204" i="22"/>
  <c r="N124" i="22"/>
  <c r="N214" i="22"/>
  <c r="N70" i="22"/>
  <c r="N38" i="22"/>
  <c r="N104" i="22"/>
  <c r="N192" i="22"/>
  <c r="N181" i="22"/>
  <c r="N33" i="22"/>
  <c r="N203" i="22"/>
  <c r="N115" i="22"/>
  <c r="N98" i="22"/>
  <c r="N164" i="22"/>
  <c r="N145" i="22"/>
  <c r="N67" i="22"/>
  <c r="N92" i="22"/>
  <c r="N252" i="22"/>
  <c r="N113" i="22"/>
  <c r="N151" i="22"/>
  <c r="C26" i="20"/>
  <c r="N65" i="22"/>
  <c r="N82" i="22"/>
  <c r="N146" i="22"/>
  <c r="N128" i="22"/>
  <c r="N195" i="22"/>
  <c r="N166" i="22"/>
  <c r="N76" i="22"/>
  <c r="N57" i="22"/>
  <c r="N176" i="22"/>
  <c r="N268" i="22"/>
  <c r="N120" i="22"/>
  <c r="N52" i="22"/>
  <c r="N153" i="22"/>
  <c r="N78" i="22"/>
  <c r="N83" i="22"/>
  <c r="N131" i="22"/>
  <c r="C30" i="20"/>
  <c r="N66" i="22"/>
  <c r="N64" i="22"/>
  <c r="N129" i="22"/>
  <c r="N112" i="22"/>
  <c r="N236" i="22"/>
  <c r="C22" i="20"/>
  <c r="N56" i="22"/>
  <c r="N156" i="22"/>
  <c r="N237" i="22"/>
  <c r="N87" i="22"/>
  <c r="N136" i="22"/>
  <c r="N36" i="22"/>
  <c r="N226" i="22"/>
  <c r="N31" i="22"/>
  <c r="N132" i="22"/>
  <c r="N27" i="22"/>
  <c r="N180" i="22"/>
  <c r="N29" i="22"/>
  <c r="N96" i="22"/>
  <c r="N219" i="22"/>
  <c r="N172" i="22"/>
  <c r="C24" i="20"/>
  <c r="N62" i="22"/>
  <c r="N40" i="22"/>
  <c r="N23" i="22"/>
  <c r="N137" i="22"/>
  <c r="N24" i="22"/>
  <c r="N123" i="22"/>
  <c r="N212" i="22"/>
  <c r="N86" i="22"/>
  <c r="N35" i="22"/>
  <c r="N30" i="22"/>
  <c r="N209" i="22"/>
  <c r="N264" i="22"/>
  <c r="N99" i="22"/>
  <c r="N179" i="22"/>
  <c r="N95" i="22"/>
  <c r="N80" i="22"/>
  <c r="N61" i="22"/>
  <c r="N260" i="22"/>
  <c r="N244" i="22"/>
  <c r="L273" i="22"/>
  <c r="N257" i="22"/>
  <c r="N11" i="22"/>
  <c r="F10" i="20" s="1"/>
  <c r="N265" i="22"/>
  <c r="N249" i="22"/>
  <c r="N233" i="22"/>
  <c r="N22" i="22"/>
  <c r="N72" i="22"/>
  <c r="N107" i="22"/>
  <c r="N165" i="22"/>
  <c r="N253" i="22"/>
  <c r="N118" i="22"/>
  <c r="N171" i="22"/>
  <c r="C50" i="20"/>
  <c r="N208" i="22"/>
  <c r="N238" i="22"/>
  <c r="N47" i="22"/>
  <c r="N197" i="22"/>
  <c r="N248" i="22"/>
  <c r="N28" i="22"/>
  <c r="N44" i="22"/>
  <c r="N161" i="22"/>
  <c r="N89" i="22"/>
  <c r="N68" i="22"/>
  <c r="C28" i="20"/>
  <c r="N210" i="22"/>
  <c r="N239" i="22"/>
  <c r="N119" i="22"/>
  <c r="N255" i="22"/>
  <c r="N91" i="22"/>
  <c r="N230" i="22"/>
  <c r="N269" i="22"/>
  <c r="N26" i="22"/>
  <c r="N51" i="22"/>
  <c r="N189" i="22"/>
  <c r="N258" i="22"/>
  <c r="N140" i="22"/>
  <c r="N125" i="22"/>
  <c r="N198" i="22"/>
  <c r="N127" i="22"/>
  <c r="N144" i="22"/>
  <c r="N111" i="22"/>
  <c r="N202" i="22" l="1"/>
  <c r="N150" i="22"/>
  <c r="N205" i="22"/>
  <c r="N225" i="22"/>
  <c r="N141" i="22"/>
  <c r="N88" i="22"/>
  <c r="N94" i="22"/>
  <c r="N160" i="22"/>
  <c r="N110" i="22"/>
  <c r="N246" i="22"/>
  <c r="N77" i="22"/>
  <c r="N222" i="22"/>
  <c r="N199" i="22"/>
  <c r="N154" i="22"/>
  <c r="N37" i="22"/>
  <c r="N109" i="22"/>
  <c r="N243" i="22"/>
  <c r="N54" i="22"/>
  <c r="N143" i="22"/>
  <c r="N229" i="22"/>
  <c r="N148" i="22"/>
  <c r="N256" i="22"/>
  <c r="N173" i="22"/>
  <c r="N105" i="22"/>
  <c r="N215" i="22"/>
  <c r="N193" i="22"/>
  <c r="N101" i="22"/>
  <c r="N218" i="22"/>
  <c r="N85" i="22"/>
  <c r="N90" i="22"/>
  <c r="N266" i="22"/>
  <c r="N58" i="22"/>
  <c r="N200" i="22"/>
  <c r="N75" i="22"/>
  <c r="N231" i="22"/>
  <c r="N242" i="22"/>
  <c r="N60" i="22"/>
  <c r="N32" i="22"/>
  <c r="N42" i="22"/>
  <c r="N74" i="22"/>
  <c r="N232" i="22"/>
  <c r="N170" i="22"/>
  <c r="N194" i="22"/>
  <c r="N73" i="22"/>
  <c r="N34" i="22"/>
  <c r="N250" i="22"/>
  <c r="N102" i="22"/>
  <c r="N106" i="22"/>
  <c r="N43" i="22"/>
  <c r="N108" i="22"/>
  <c r="N93" i="22"/>
  <c r="N126" i="22"/>
  <c r="N261" i="22"/>
  <c r="N135" i="22"/>
  <c r="N241" i="22"/>
  <c r="N71" i="22"/>
  <c r="N103" i="22"/>
  <c r="N97" i="22"/>
  <c r="N55" i="22"/>
  <c r="N116" i="22"/>
  <c r="N39" i="22"/>
  <c r="N139" i="22"/>
  <c r="N267" i="22"/>
  <c r="N177" i="22"/>
  <c r="N134" i="22"/>
  <c r="N41" i="22"/>
  <c r="N245" i="22"/>
  <c r="N159" i="22"/>
  <c r="N211" i="22"/>
  <c r="N79" i="22"/>
  <c r="N84" i="22"/>
  <c r="N63" i="22"/>
  <c r="N155" i="22"/>
  <c r="N251" i="22"/>
  <c r="N25" i="22"/>
  <c r="N175" i="22"/>
  <c r="N142" i="22"/>
  <c r="N217" i="22"/>
  <c r="N190" i="22"/>
  <c r="N81" i="22"/>
  <c r="N100" i="22"/>
  <c r="N121" i="22"/>
  <c r="N114" i="22"/>
  <c r="N188" i="22"/>
  <c r="N254" i="22"/>
  <c r="N213" i="22"/>
  <c r="N152" i="22"/>
  <c r="N69" i="22"/>
  <c r="N46" i="22"/>
  <c r="N158" i="22"/>
  <c r="H580" i="21" l="1"/>
  <c r="H568" i="21"/>
  <c r="H579" i="21"/>
  <c r="H578" i="21"/>
  <c r="H577" i="21"/>
  <c r="H576" i="21"/>
  <c r="H575" i="21"/>
  <c r="H574" i="21"/>
  <c r="H573" i="21"/>
  <c r="H572" i="21"/>
  <c r="H571" i="21"/>
  <c r="H570" i="21"/>
  <c r="H569" i="21"/>
  <c r="H556" i="21"/>
  <c r="H563" i="21" s="1"/>
  <c r="H562" i="21"/>
  <c r="H561" i="21"/>
  <c r="H560" i="21"/>
  <c r="H559" i="21"/>
  <c r="H558" i="21"/>
  <c r="H557" i="21"/>
  <c r="H552" i="21"/>
  <c r="H551" i="21"/>
  <c r="H550" i="21"/>
  <c r="H549" i="21"/>
  <c r="H548" i="21" s="1"/>
  <c r="H553" i="21" s="1"/>
  <c r="H542" i="21"/>
  <c r="H541" i="21"/>
  <c r="H540" i="21"/>
  <c r="H539" i="21"/>
  <c r="H534" i="21"/>
  <c r="H533" i="21"/>
  <c r="H532" i="21"/>
  <c r="H525" i="21"/>
  <c r="H524" i="21"/>
  <c r="H523" i="21"/>
  <c r="H522" i="21"/>
  <c r="H521" i="21"/>
  <c r="H520" i="21"/>
  <c r="H513" i="21"/>
  <c r="H512" i="21"/>
  <c r="H511" i="21"/>
  <c r="H510" i="21"/>
  <c r="H509" i="21"/>
  <c r="H508" i="21"/>
  <c r="H498" i="21"/>
  <c r="H499" i="21"/>
  <c r="H500" i="21"/>
  <c r="H501" i="21"/>
  <c r="H497" i="21"/>
  <c r="H490" i="21"/>
  <c r="H489" i="21"/>
  <c r="H488" i="21"/>
  <c r="H487" i="21"/>
  <c r="H486" i="21"/>
  <c r="H485" i="21"/>
  <c r="H478" i="21"/>
  <c r="H477" i="21"/>
  <c r="H470" i="21"/>
  <c r="H469" i="21"/>
  <c r="H468" i="21"/>
  <c r="H467" i="21"/>
  <c r="H466" i="21"/>
  <c r="H459" i="21"/>
  <c r="H458" i="21"/>
  <c r="H457" i="21"/>
  <c r="H456" i="21"/>
  <c r="H455" i="21"/>
  <c r="H454" i="21"/>
  <c r="H453" i="21"/>
  <c r="H446" i="21"/>
  <c r="H445" i="21"/>
  <c r="K506" i="12"/>
  <c r="K504" i="12"/>
  <c r="K503" i="12"/>
  <c r="K502" i="12"/>
  <c r="K507" i="12" s="1"/>
  <c r="H438" i="21"/>
  <c r="H437" i="21"/>
  <c r="H430" i="21"/>
  <c r="H429" i="21"/>
  <c r="H424" i="21"/>
  <c r="H423" i="21"/>
  <c r="H422" i="21"/>
  <c r="H417" i="21"/>
  <c r="H416" i="21"/>
  <c r="H415" i="21"/>
  <c r="H408" i="21"/>
  <c r="H407" i="21"/>
  <c r="H400" i="21"/>
  <c r="H399" i="21"/>
  <c r="H394" i="21"/>
  <c r="H393" i="21" s="1"/>
  <c r="H395" i="21" s="1"/>
  <c r="H387" i="21"/>
  <c r="H386" i="21"/>
  <c r="H385" i="21"/>
  <c r="H378" i="21"/>
  <c r="H377" i="21"/>
  <c r="H376" i="21"/>
  <c r="H375" i="21"/>
  <c r="H367" i="21"/>
  <c r="H366" i="21"/>
  <c r="H359" i="21"/>
  <c r="H358" i="21"/>
  <c r="H351" i="21"/>
  <c r="H350" i="21"/>
  <c r="H349" i="21"/>
  <c r="H348" i="21"/>
  <c r="H341" i="21"/>
  <c r="H340" i="21"/>
  <c r="H339" i="21"/>
  <c r="H338" i="21"/>
  <c r="H337" i="21"/>
  <c r="H336" i="21"/>
  <c r="H329" i="21"/>
  <c r="H328" i="21"/>
  <c r="H327" i="21"/>
  <c r="H326" i="21"/>
  <c r="H325" i="21"/>
  <c r="H324" i="21"/>
  <c r="H317" i="21"/>
  <c r="H316" i="21"/>
  <c r="H315" i="21"/>
  <c r="H308" i="21"/>
  <c r="H307" i="21"/>
  <c r="H300" i="21"/>
  <c r="H299" i="21"/>
  <c r="H292" i="21"/>
  <c r="H291" i="21"/>
  <c r="H290" i="21"/>
  <c r="H283" i="21"/>
  <c r="H282" i="21"/>
  <c r="H281" i="21"/>
  <c r="H274" i="21"/>
  <c r="H273" i="21"/>
  <c r="H272" i="21"/>
  <c r="H265" i="21"/>
  <c r="H264" i="21"/>
  <c r="H263" i="21"/>
  <c r="H256" i="21"/>
  <c r="H255" i="21"/>
  <c r="H254" i="21"/>
  <c r="H247" i="21"/>
  <c r="H246" i="21"/>
  <c r="H245" i="21"/>
  <c r="H238" i="21"/>
  <c r="H237" i="21"/>
  <c r="H236" i="21"/>
  <c r="H229" i="21"/>
  <c r="H228" i="21"/>
  <c r="H227" i="21"/>
  <c r="H220" i="21"/>
  <c r="H219" i="21"/>
  <c r="H218" i="21"/>
  <c r="H211" i="21"/>
  <c r="H210" i="21"/>
  <c r="H209" i="21"/>
  <c r="H201" i="21"/>
  <c r="H202" i="21"/>
  <c r="H200" i="21"/>
  <c r="H538" i="21" l="1"/>
  <c r="H543" i="21" s="1"/>
  <c r="H519" i="21"/>
  <c r="H526" i="21" s="1"/>
  <c r="H531" i="21"/>
  <c r="H535" i="21" s="1"/>
  <c r="H507" i="21"/>
  <c r="H514" i="21" s="1"/>
  <c r="H484" i="21"/>
  <c r="H491" i="21" s="1"/>
  <c r="H496" i="21"/>
  <c r="H502" i="21" s="1"/>
  <c r="H476" i="21"/>
  <c r="H479" i="21" s="1"/>
  <c r="H452" i="21"/>
  <c r="H460" i="21" s="1"/>
  <c r="H465" i="21"/>
  <c r="H471" i="21" s="1"/>
  <c r="H414" i="21"/>
  <c r="H418" i="21" s="1"/>
  <c r="H444" i="21"/>
  <c r="H447" i="21" s="1"/>
  <c r="K501" i="12"/>
  <c r="H406" i="21"/>
  <c r="H409" i="21" s="1"/>
  <c r="H428" i="21"/>
  <c r="H431" i="21" s="1"/>
  <c r="H436" i="21"/>
  <c r="H439" i="21" s="1"/>
  <c r="H421" i="21"/>
  <c r="H425" i="21" s="1"/>
  <c r="H398" i="21"/>
  <c r="H401" i="21" s="1"/>
  <c r="H384" i="21"/>
  <c r="H388" i="21" s="1"/>
  <c r="H374" i="21"/>
  <c r="H379" i="21" s="1"/>
  <c r="H365" i="21"/>
  <c r="H369" i="21" s="1"/>
  <c r="H289" i="21"/>
  <c r="H293" i="21" s="1"/>
  <c r="H357" i="21"/>
  <c r="H360" i="21" s="1"/>
  <c r="H298" i="21"/>
  <c r="H301" i="21" s="1"/>
  <c r="H335" i="21"/>
  <c r="H342" i="21" s="1"/>
  <c r="H347" i="21"/>
  <c r="H352" i="21" s="1"/>
  <c r="H306" i="21"/>
  <c r="H309" i="21" s="1"/>
  <c r="H314" i="21"/>
  <c r="H318" i="21" s="1"/>
  <c r="H323" i="21"/>
  <c r="H330" i="21" s="1"/>
  <c r="H253" i="21"/>
  <c r="H257" i="21" s="1"/>
  <c r="H280" i="21"/>
  <c r="H284" i="21" s="1"/>
  <c r="H271" i="21"/>
  <c r="H275" i="21" s="1"/>
  <c r="H262" i="21"/>
  <c r="H266" i="21" s="1"/>
  <c r="H244" i="21"/>
  <c r="H248" i="21" s="1"/>
  <c r="H208" i="21"/>
  <c r="H212" i="21" s="1"/>
  <c r="H235" i="21"/>
  <c r="H239" i="21" s="1"/>
  <c r="H226" i="21"/>
  <c r="H230" i="21" s="1"/>
  <c r="H199" i="21"/>
  <c r="H203" i="21" s="1"/>
  <c r="H217" i="21"/>
  <c r="H221" i="21" s="1"/>
  <c r="H193" i="21"/>
  <c r="H192" i="21"/>
  <c r="H191" i="21"/>
  <c r="H184" i="21"/>
  <c r="H183" i="21"/>
  <c r="H182" i="21"/>
  <c r="H175" i="21"/>
  <c r="H174" i="21"/>
  <c r="H173" i="21"/>
  <c r="H166" i="21"/>
  <c r="H165" i="21"/>
  <c r="H164" i="21"/>
  <c r="H157" i="21"/>
  <c r="H156" i="21"/>
  <c r="H155" i="21"/>
  <c r="H148" i="21"/>
  <c r="H147" i="21"/>
  <c r="H146" i="21"/>
  <c r="H139" i="21"/>
  <c r="H138" i="21"/>
  <c r="H137" i="21"/>
  <c r="H130" i="21"/>
  <c r="H129" i="21"/>
  <c r="H128" i="21"/>
  <c r="H121" i="21"/>
  <c r="H120" i="21" s="1"/>
  <c r="H122" i="21" s="1"/>
  <c r="H114" i="21"/>
  <c r="H113" i="21"/>
  <c r="H112" i="21"/>
  <c r="H106" i="21"/>
  <c r="H105" i="21"/>
  <c r="H98" i="21"/>
  <c r="H97" i="21" s="1"/>
  <c r="H99" i="21" s="1"/>
  <c r="H91" i="21"/>
  <c r="H90" i="21" s="1"/>
  <c r="H92" i="21" s="1"/>
  <c r="H84" i="21"/>
  <c r="H83" i="21"/>
  <c r="H76" i="21"/>
  <c r="H75" i="21"/>
  <c r="H68" i="21"/>
  <c r="H67" i="21" s="1"/>
  <c r="H69" i="21" s="1"/>
  <c r="H61" i="21"/>
  <c r="H60" i="21"/>
  <c r="H53" i="21"/>
  <c r="H52" i="21" s="1"/>
  <c r="H54" i="21" s="1"/>
  <c r="H46" i="21"/>
  <c r="H45" i="21" s="1"/>
  <c r="H47" i="21" s="1"/>
  <c r="H39" i="21"/>
  <c r="H38" i="21"/>
  <c r="H31" i="21"/>
  <c r="H30" i="21"/>
  <c r="H23" i="21"/>
  <c r="H22" i="21"/>
  <c r="H181" i="21" l="1"/>
  <c r="H185" i="21" s="1"/>
  <c r="H172" i="21"/>
  <c r="H176" i="21" s="1"/>
  <c r="H190" i="21"/>
  <c r="H194" i="21" s="1"/>
  <c r="H74" i="21"/>
  <c r="H77" i="21" s="1"/>
  <c r="H154" i="21"/>
  <c r="H158" i="21" s="1"/>
  <c r="H163" i="21"/>
  <c r="H167" i="21" s="1"/>
  <c r="H127" i="21"/>
  <c r="H131" i="21" s="1"/>
  <c r="H37" i="21"/>
  <c r="H40" i="21" s="1"/>
  <c r="H136" i="21"/>
  <c r="H140" i="21" s="1"/>
  <c r="H145" i="21"/>
  <c r="H149" i="21" s="1"/>
  <c r="H104" i="21"/>
  <c r="H107" i="21" s="1"/>
  <c r="H111" i="21"/>
  <c r="H115" i="21" s="1"/>
  <c r="H82" i="21"/>
  <c r="H85" i="21" s="1"/>
  <c r="H59" i="21"/>
  <c r="H62" i="21" s="1"/>
  <c r="H29" i="21"/>
  <c r="H32" i="21" s="1"/>
  <c r="H21" i="21"/>
  <c r="H24" i="21" s="1"/>
  <c r="E320" i="5" l="1"/>
  <c r="E351" i="5"/>
  <c r="E2341" i="5"/>
  <c r="E2343" i="5"/>
  <c r="E2342" i="5"/>
  <c r="G54" i="20"/>
  <c r="F54" i="20"/>
  <c r="G52" i="20"/>
  <c r="F52" i="20"/>
  <c r="E52" i="20"/>
  <c r="D52" i="20"/>
  <c r="G50" i="20"/>
  <c r="F50" i="20"/>
  <c r="E50" i="20"/>
  <c r="D50" i="20"/>
  <c r="G48" i="20"/>
  <c r="F48" i="20"/>
  <c r="E48" i="20"/>
  <c r="D48" i="20"/>
  <c r="G46" i="20"/>
  <c r="F44" i="20"/>
  <c r="D44" i="20"/>
  <c r="F42" i="20"/>
  <c r="F40" i="20"/>
  <c r="E40" i="20"/>
  <c r="G38" i="20"/>
  <c r="G36" i="20"/>
  <c r="E36" i="20"/>
  <c r="D36" i="20"/>
  <c r="E34" i="20"/>
  <c r="D34" i="20"/>
  <c r="E32" i="20"/>
  <c r="G30" i="20"/>
  <c r="F30" i="20"/>
  <c r="F28" i="20"/>
  <c r="E28" i="20"/>
  <c r="E26" i="20"/>
  <c r="D26" i="20"/>
  <c r="E24" i="20"/>
  <c r="G22" i="20"/>
  <c r="F22" i="20"/>
  <c r="E22" i="20"/>
  <c r="D22" i="20"/>
  <c r="G20" i="20"/>
  <c r="F20" i="20"/>
  <c r="E20" i="20"/>
  <c r="D20" i="20"/>
  <c r="H20" i="20" s="1"/>
  <c r="A2227" i="19"/>
  <c r="A2226" i="19"/>
  <c r="A2225" i="19"/>
  <c r="A2224" i="19"/>
  <c r="A2223" i="19"/>
  <c r="A2222" i="19"/>
  <c r="A2221" i="19"/>
  <c r="A2220" i="19"/>
  <c r="A2219" i="19"/>
  <c r="A2218" i="19"/>
  <c r="A2217" i="19"/>
  <c r="A2216" i="19"/>
  <c r="A2215" i="19"/>
  <c r="A2214" i="19"/>
  <c r="A2213" i="19"/>
  <c r="A2212" i="19"/>
  <c r="A2211" i="19"/>
  <c r="A2210" i="19"/>
  <c r="A2209" i="19"/>
  <c r="A2208" i="19"/>
  <c r="A2207" i="19"/>
  <c r="A2206" i="19"/>
  <c r="A2205" i="19"/>
  <c r="A2204" i="19"/>
  <c r="A2190" i="19"/>
  <c r="A2189" i="19"/>
  <c r="A2188" i="19"/>
  <c r="A2187" i="19"/>
  <c r="A2186" i="19"/>
  <c r="A2185" i="19"/>
  <c r="A2184" i="19"/>
  <c r="A2183" i="19"/>
  <c r="A2182" i="19"/>
  <c r="A2181" i="19"/>
  <c r="A2180" i="19"/>
  <c r="A2179" i="19"/>
  <c r="A2178" i="19"/>
  <c r="A2177" i="19"/>
  <c r="A2176" i="19"/>
  <c r="A2175" i="19"/>
  <c r="A2174" i="19"/>
  <c r="A2173" i="19"/>
  <c r="A2172" i="19"/>
  <c r="A2171" i="19"/>
  <c r="A2170" i="19"/>
  <c r="A2169" i="19"/>
  <c r="A2168" i="19"/>
  <c r="A2167" i="19"/>
  <c r="A2166" i="19"/>
  <c r="A2165" i="19"/>
  <c r="A2164" i="19"/>
  <c r="A2163" i="19"/>
  <c r="A2162" i="19"/>
  <c r="A2161" i="19"/>
  <c r="A2160" i="19"/>
  <c r="A2156" i="19"/>
  <c r="A2155" i="19"/>
  <c r="A2154" i="19"/>
  <c r="A2153" i="19"/>
  <c r="A2152" i="19"/>
  <c r="A2151" i="19"/>
  <c r="A2150" i="19"/>
  <c r="A2149" i="19"/>
  <c r="A2148" i="19"/>
  <c r="A2147" i="19"/>
  <c r="A2146" i="19"/>
  <c r="A2145" i="19"/>
  <c r="A2144" i="19"/>
  <c r="A2143" i="19"/>
  <c r="A2137" i="19"/>
  <c r="A2136" i="19"/>
  <c r="A2135" i="19"/>
  <c r="A2134" i="19"/>
  <c r="A2133" i="19"/>
  <c r="A2132" i="19"/>
  <c r="A2131" i="19"/>
  <c r="A2130" i="19"/>
  <c r="A2129" i="19"/>
  <c r="A2128" i="19"/>
  <c r="A2127" i="19"/>
  <c r="A2126" i="19"/>
  <c r="A2125" i="19"/>
  <c r="A2124" i="19"/>
  <c r="A2114" i="19"/>
  <c r="A2113" i="19"/>
  <c r="A2112" i="19"/>
  <c r="A2111" i="19"/>
  <c r="A2110" i="19"/>
  <c r="A2106" i="19"/>
  <c r="A2105" i="19"/>
  <c r="A2104" i="19"/>
  <c r="A2103" i="19"/>
  <c r="A2102" i="19"/>
  <c r="A2101" i="19"/>
  <c r="A2097" i="19"/>
  <c r="A2096" i="19"/>
  <c r="A2092" i="19"/>
  <c r="A2091" i="19"/>
  <c r="A2090" i="19"/>
  <c r="A2089" i="19"/>
  <c r="A2088" i="19"/>
  <c r="A2087" i="19"/>
  <c r="A2086" i="19"/>
  <c r="A2085" i="19"/>
  <c r="A2084" i="19"/>
  <c r="A2083" i="19"/>
  <c r="A2082" i="19"/>
  <c r="A2078" i="19"/>
  <c r="A2077" i="19"/>
  <c r="A2076" i="19"/>
  <c r="A2075" i="19"/>
  <c r="A2074" i="19"/>
  <c r="A2073" i="19"/>
  <c r="A2072" i="19"/>
  <c r="A2070" i="19"/>
  <c r="A2069" i="19"/>
  <c r="A2068" i="19"/>
  <c r="A2067" i="19"/>
  <c r="A2066" i="19"/>
  <c r="A2065" i="19"/>
  <c r="A2064" i="19"/>
  <c r="A2063" i="19"/>
  <c r="A2062" i="19"/>
  <c r="A2061" i="19"/>
  <c r="A2060" i="19"/>
  <c r="A2059" i="19"/>
  <c r="A2058" i="19"/>
  <c r="A2057" i="19"/>
  <c r="A2054" i="19"/>
  <c r="A2053" i="19"/>
  <c r="A2052" i="19"/>
  <c r="A2051" i="19"/>
  <c r="A2050" i="19"/>
  <c r="A2049" i="19"/>
  <c r="A2048" i="19"/>
  <c r="A2047" i="19"/>
  <c r="A2042" i="19"/>
  <c r="A2041" i="19"/>
  <c r="A2040" i="19"/>
  <c r="A2039" i="19"/>
  <c r="A2038" i="19"/>
  <c r="A2037" i="19"/>
  <c r="A2036" i="19"/>
  <c r="A2035" i="19"/>
  <c r="A2034" i="19"/>
  <c r="A2033" i="19"/>
  <c r="A2032" i="19"/>
  <c r="A2031" i="19"/>
  <c r="A2028" i="19"/>
  <c r="A2027" i="19"/>
  <c r="A2026" i="19"/>
  <c r="A2025" i="19"/>
  <c r="A2024" i="19"/>
  <c r="A2023" i="19"/>
  <c r="A2022" i="19"/>
  <c r="A2021" i="19"/>
  <c r="A2020" i="19"/>
  <c r="A2019" i="19"/>
  <c r="A2018" i="19"/>
  <c r="A2017" i="19"/>
  <c r="A2016" i="19"/>
  <c r="A2015" i="19"/>
  <c r="A2014" i="19"/>
  <c r="A2013" i="19"/>
  <c r="A2012" i="19"/>
  <c r="A2011" i="19"/>
  <c r="A2010" i="19"/>
  <c r="A2009" i="19"/>
  <c r="A2008" i="19"/>
  <c r="A2007" i="19"/>
  <c r="A2006" i="19"/>
  <c r="A2005" i="19"/>
  <c r="A2001" i="19"/>
  <c r="A2000" i="19"/>
  <c r="A1999" i="19"/>
  <c r="A1998" i="19"/>
  <c r="A1997" i="19"/>
  <c r="A1996" i="19"/>
  <c r="A1995" i="19"/>
  <c r="A1994" i="19"/>
  <c r="A1973" i="19"/>
  <c r="A1972" i="19"/>
  <c r="A1971" i="19"/>
  <c r="A1967" i="19"/>
  <c r="A1966" i="19"/>
  <c r="A1965" i="19"/>
  <c r="A1964" i="19"/>
  <c r="A1963" i="19"/>
  <c r="A1962" i="19"/>
  <c r="A1961" i="19"/>
  <c r="A1960" i="19"/>
  <c r="A1959" i="19"/>
  <c r="A1958" i="19"/>
  <c r="A1957" i="19"/>
  <c r="A1956" i="19"/>
  <c r="A1955" i="19"/>
  <c r="A1954" i="19"/>
  <c r="A1953" i="19"/>
  <c r="A1952" i="19"/>
  <c r="A1951" i="19"/>
  <c r="A1950" i="19"/>
  <c r="A1949" i="19"/>
  <c r="A1948" i="19"/>
  <c r="A1947" i="19"/>
  <c r="A1946" i="19"/>
  <c r="A1944" i="19"/>
  <c r="A1943" i="19"/>
  <c r="A1942" i="19"/>
  <c r="A1941" i="19"/>
  <c r="A1940" i="19"/>
  <c r="A1939" i="19"/>
  <c r="A1938" i="19"/>
  <c r="A1937" i="19"/>
  <c r="A1935" i="19"/>
  <c r="A1934" i="19"/>
  <c r="A1932" i="19"/>
  <c r="A1931" i="19"/>
  <c r="A1930" i="19"/>
  <c r="A1929" i="19"/>
  <c r="A1928" i="19"/>
  <c r="A1927" i="19"/>
  <c r="A1926" i="19"/>
  <c r="A1925" i="19"/>
  <c r="A1922" i="19"/>
  <c r="A1921" i="19"/>
  <c r="A1918" i="19"/>
  <c r="A1917" i="19"/>
  <c r="A1914" i="19"/>
  <c r="A1913" i="19"/>
  <c r="A1912" i="19"/>
  <c r="A1911" i="19"/>
  <c r="A1910" i="19"/>
  <c r="A1909" i="19"/>
  <c r="A1908" i="19"/>
  <c r="A1904" i="19"/>
  <c r="A1903" i="19"/>
  <c r="A1902" i="19"/>
  <c r="A1901" i="19"/>
  <c r="A1900" i="19"/>
  <c r="A1899" i="19"/>
  <c r="A1898" i="19"/>
  <c r="A1897" i="19"/>
  <c r="A1896" i="19"/>
  <c r="A1895" i="19"/>
  <c r="A1894" i="19"/>
  <c r="A1893" i="19"/>
  <c r="A1891" i="19"/>
  <c r="A1890" i="19"/>
  <c r="A1889" i="19"/>
  <c r="A1888" i="19"/>
  <c r="A1887" i="19"/>
  <c r="A1886" i="19"/>
  <c r="A1879" i="19"/>
  <c r="A1878" i="19"/>
  <c r="A1877" i="19"/>
  <c r="A1876" i="19"/>
  <c r="A1875" i="19"/>
  <c r="A1874" i="19"/>
  <c r="A1873" i="19"/>
  <c r="A1872" i="19"/>
  <c r="A1868" i="19"/>
  <c r="A1860" i="19"/>
  <c r="A1859" i="19"/>
  <c r="A1858" i="19"/>
  <c r="A1857" i="19"/>
  <c r="A1856" i="19"/>
  <c r="A1855" i="19"/>
  <c r="A1853" i="19"/>
  <c r="A1852" i="19"/>
  <c r="A1851" i="19"/>
  <c r="A1850" i="19"/>
  <c r="A1849" i="19"/>
  <c r="A1848" i="19"/>
  <c r="A1846" i="19"/>
  <c r="A1845" i="19"/>
  <c r="A1844" i="19"/>
  <c r="A1843" i="19"/>
  <c r="A1842" i="19"/>
  <c r="A1841" i="19"/>
  <c r="A1840" i="19"/>
  <c r="A1839" i="19"/>
  <c r="A1838" i="19"/>
  <c r="A1837" i="19"/>
  <c r="A1836" i="19"/>
  <c r="A1835" i="19"/>
  <c r="A1834" i="19"/>
  <c r="A1833" i="19"/>
  <c r="A1832" i="19"/>
  <c r="A1831" i="19"/>
  <c r="A1830" i="19"/>
  <c r="A1829" i="19"/>
  <c r="A1828" i="19"/>
  <c r="A1827" i="19"/>
  <c r="A1826" i="19"/>
  <c r="A1825" i="19"/>
  <c r="A1824" i="19"/>
  <c r="A1823" i="19"/>
  <c r="A1822" i="19"/>
  <c r="A1821" i="19"/>
  <c r="A1820" i="19"/>
  <c r="A1819" i="19"/>
  <c r="A1818" i="19"/>
  <c r="A1817" i="19"/>
  <c r="A1816" i="19"/>
  <c r="A1815" i="19"/>
  <c r="A1814" i="19"/>
  <c r="A1813" i="19"/>
  <c r="A1812" i="19"/>
  <c r="A1811" i="19"/>
  <c r="A1810" i="19"/>
  <c r="A1809" i="19"/>
  <c r="A1808" i="19"/>
  <c r="A1807" i="19"/>
  <c r="A1806" i="19"/>
  <c r="A1805" i="19"/>
  <c r="A1804" i="19"/>
  <c r="A1803" i="19"/>
  <c r="A1802" i="19"/>
  <c r="A1801" i="19"/>
  <c r="A1800" i="19"/>
  <c r="A1799" i="19"/>
  <c r="A1798" i="19"/>
  <c r="A1797" i="19"/>
  <c r="A1796" i="19"/>
  <c r="A1795" i="19"/>
  <c r="A1794" i="19"/>
  <c r="A1793" i="19"/>
  <c r="A1792" i="19"/>
  <c r="A1791" i="19"/>
  <c r="A1790" i="19"/>
  <c r="A1789" i="19"/>
  <c r="A1788" i="19"/>
  <c r="A1787" i="19"/>
  <c r="A1786" i="19"/>
  <c r="A1785" i="19"/>
  <c r="A1784" i="19"/>
  <c r="A1783" i="19"/>
  <c r="A1782" i="19"/>
  <c r="A1781" i="19"/>
  <c r="A1780" i="19"/>
  <c r="A1774" i="19"/>
  <c r="A1773" i="19"/>
  <c r="A1772" i="19"/>
  <c r="A1771" i="19"/>
  <c r="A1770" i="19"/>
  <c r="A1769" i="19"/>
  <c r="A1768" i="19"/>
  <c r="A1767" i="19"/>
  <c r="A1766" i="19"/>
  <c r="A1765" i="19"/>
  <c r="A1764" i="19"/>
  <c r="A1763" i="19"/>
  <c r="A1762" i="19"/>
  <c r="A1761" i="19"/>
  <c r="A1760" i="19"/>
  <c r="A1759" i="19"/>
  <c r="A1758" i="19"/>
  <c r="A1757" i="19"/>
  <c r="A1753" i="19"/>
  <c r="A1748" i="19"/>
  <c r="A1747" i="19"/>
  <c r="A1746" i="19"/>
  <c r="A1745" i="19"/>
  <c r="A1743" i="19"/>
  <c r="A1742" i="19"/>
  <c r="A1741" i="19"/>
  <c r="A1740" i="19"/>
  <c r="A1739" i="19"/>
  <c r="A1738" i="19"/>
  <c r="A1737" i="19"/>
  <c r="A1736" i="19"/>
  <c r="A1735" i="19"/>
  <c r="A1733" i="19"/>
  <c r="A1731" i="19"/>
  <c r="A1730" i="19"/>
  <c r="A1729" i="19"/>
  <c r="A1728" i="19"/>
  <c r="A1727" i="19"/>
  <c r="A1726" i="19"/>
  <c r="A1725" i="19"/>
  <c r="A1724" i="19"/>
  <c r="A1723" i="19"/>
  <c r="A1722" i="19"/>
  <c r="A1721" i="19"/>
  <c r="A1705" i="19"/>
  <c r="A1704" i="19"/>
  <c r="A1703" i="19"/>
  <c r="A1702" i="19"/>
  <c r="A1701" i="19"/>
  <c r="A1700" i="19"/>
  <c r="A1699" i="19"/>
  <c r="A1698" i="19"/>
  <c r="A1697" i="19"/>
  <c r="A1696" i="19"/>
  <c r="A1695" i="19"/>
  <c r="A1694" i="19"/>
  <c r="A1693" i="19"/>
  <c r="A1692" i="19"/>
  <c r="A1691" i="19"/>
  <c r="A1689" i="19"/>
  <c r="A1688" i="19"/>
  <c r="A1687" i="19"/>
  <c r="A1686" i="19"/>
  <c r="A1685" i="19"/>
  <c r="A1683" i="19"/>
  <c r="A1682" i="19"/>
  <c r="A1681" i="19"/>
  <c r="A1680" i="19"/>
  <c r="A1679" i="19"/>
  <c r="A1678" i="19"/>
  <c r="A1677" i="19"/>
  <c r="A1676" i="19"/>
  <c r="A1675" i="19"/>
  <c r="A1674" i="19"/>
  <c r="A1673" i="19"/>
  <c r="A1672" i="19"/>
  <c r="A1671" i="19"/>
  <c r="A1670" i="19"/>
  <c r="A1669" i="19"/>
  <c r="A1668" i="19"/>
  <c r="A1666" i="19"/>
  <c r="A1665" i="19"/>
  <c r="A1664" i="19"/>
  <c r="A1660" i="19"/>
  <c r="A1659" i="19"/>
  <c r="A1658" i="19"/>
  <c r="A1657" i="19"/>
  <c r="A1656" i="19"/>
  <c r="A1655" i="19"/>
  <c r="A1654" i="19"/>
  <c r="A1653" i="19"/>
  <c r="A1652" i="19"/>
  <c r="A1651" i="19"/>
  <c r="A1650" i="19"/>
  <c r="A1649" i="19"/>
  <c r="A1648" i="19"/>
  <c r="A1647" i="19"/>
  <c r="A1646" i="19"/>
  <c r="A1645" i="19"/>
  <c r="A1644" i="19"/>
  <c r="A1643" i="19"/>
  <c r="A1642" i="19"/>
  <c r="A1641" i="19"/>
  <c r="A1640" i="19"/>
  <c r="A1639" i="19"/>
  <c r="A1638" i="19"/>
  <c r="A1637" i="19"/>
  <c r="A1636" i="19"/>
  <c r="A1627" i="19"/>
  <c r="A1626" i="19"/>
  <c r="A1625" i="19"/>
  <c r="A1621" i="19"/>
  <c r="A1620" i="19"/>
  <c r="A1619" i="19"/>
  <c r="A1618" i="19"/>
  <c r="A1617" i="19"/>
  <c r="A1616" i="19"/>
  <c r="A1615" i="19"/>
  <c r="A1614" i="19"/>
  <c r="A1613" i="19"/>
  <c r="A1612" i="19"/>
  <c r="A1611" i="19"/>
  <c r="A1610" i="19"/>
  <c r="A1609" i="19"/>
  <c r="A1608" i="19"/>
  <c r="A1607" i="19"/>
  <c r="A1606" i="19"/>
  <c r="A1605" i="19"/>
  <c r="A1604" i="19"/>
  <c r="A1603"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3" i="19"/>
  <c r="A1542" i="19"/>
  <c r="A1541" i="19"/>
  <c r="A1539" i="19"/>
  <c r="A1538" i="19"/>
  <c r="A1537" i="19"/>
  <c r="A1536" i="19"/>
  <c r="A1535" i="19"/>
  <c r="A1534" i="19"/>
  <c r="A1533" i="19"/>
  <c r="A1532" i="19"/>
  <c r="A1531" i="19"/>
  <c r="A1530" i="19"/>
  <c r="A1529" i="19"/>
  <c r="A1528" i="19"/>
  <c r="A1527" i="19"/>
  <c r="A1526" i="19"/>
  <c r="A1525" i="19"/>
  <c r="A1524" i="19"/>
  <c r="A1523" i="19"/>
  <c r="A1522" i="19"/>
  <c r="A1521" i="19"/>
  <c r="A1520" i="19"/>
  <c r="A1519" i="19"/>
  <c r="A1518" i="19"/>
  <c r="A1516" i="19"/>
  <c r="A1515" i="19"/>
  <c r="A1514" i="19"/>
  <c r="A1513" i="19"/>
  <c r="A1512" i="19"/>
  <c r="A1511" i="19"/>
  <c r="A1510" i="19"/>
  <c r="A1509" i="19"/>
  <c r="A1507" i="19"/>
  <c r="A1506" i="19"/>
  <c r="A1505" i="19"/>
  <c r="A1504" i="19"/>
  <c r="A1502" i="19"/>
  <c r="A1501" i="19"/>
  <c r="A1500" i="19"/>
  <c r="A1496" i="19"/>
  <c r="A1495" i="19"/>
  <c r="A1494" i="19"/>
  <c r="A1493" i="19"/>
  <c r="A1492" i="19"/>
  <c r="A1491" i="19"/>
  <c r="A1489" i="19"/>
  <c r="A1488" i="19"/>
  <c r="A1487" i="19"/>
  <c r="A1486" i="19"/>
  <c r="A1484" i="19"/>
  <c r="A1483" i="19"/>
  <c r="A1482" i="19"/>
  <c r="A1481" i="19"/>
  <c r="A1480" i="19"/>
  <c r="A1479" i="19"/>
  <c r="A1478" i="19"/>
  <c r="A1477" i="19"/>
  <c r="A1476" i="19"/>
  <c r="A1474" i="19"/>
  <c r="A1473" i="19"/>
  <c r="A1472" i="19"/>
  <c r="A1471" i="19"/>
  <c r="A1470" i="19"/>
  <c r="A1469" i="19"/>
  <c r="A1468" i="19"/>
  <c r="A1467" i="19"/>
  <c r="A1466" i="19"/>
  <c r="A1465" i="19"/>
  <c r="A1464" i="19"/>
  <c r="A1462" i="19"/>
  <c r="A1461" i="19"/>
  <c r="A1460" i="19"/>
  <c r="A1459" i="19"/>
  <c r="A1458" i="19"/>
  <c r="A1457" i="19"/>
  <c r="A1456" i="19"/>
  <c r="A1455" i="19"/>
  <c r="A1454" i="19"/>
  <c r="A1453" i="19"/>
  <c r="A1452" i="19"/>
  <c r="A1451" i="19"/>
  <c r="A1450" i="19"/>
  <c r="A1449" i="19"/>
  <c r="A1448" i="19"/>
  <c r="A1447" i="19"/>
  <c r="A1446" i="19"/>
  <c r="A1445" i="19"/>
  <c r="A1444" i="19"/>
  <c r="A1443" i="19"/>
  <c r="A1442" i="19"/>
  <c r="A1441" i="19"/>
  <c r="A1440" i="19"/>
  <c r="A1439" i="19"/>
  <c r="A1438" i="19"/>
  <c r="A1437" i="19"/>
  <c r="A1436" i="19"/>
  <c r="A1435" i="19"/>
  <c r="A1434" i="19"/>
  <c r="A1433" i="19"/>
  <c r="A1432" i="19"/>
  <c r="A1431" i="19"/>
  <c r="A1430" i="19"/>
  <c r="A1429" i="19"/>
  <c r="A1428" i="19"/>
  <c r="A1427" i="19"/>
  <c r="A1426" i="19"/>
  <c r="A1425" i="19"/>
  <c r="A1424" i="19"/>
  <c r="A1423" i="19"/>
  <c r="A1422" i="19"/>
  <c r="A1421" i="19"/>
  <c r="A1420" i="19"/>
  <c r="A1419" i="19"/>
  <c r="A1417" i="19"/>
  <c r="A1416" i="19"/>
  <c r="A1415" i="19"/>
  <c r="A1414" i="19"/>
  <c r="A1413" i="19"/>
  <c r="A1412" i="19"/>
  <c r="A1411" i="19"/>
  <c r="A1410" i="19"/>
  <c r="A1409" i="19"/>
  <c r="A1408" i="19"/>
  <c r="A1407" i="19"/>
  <c r="A1406" i="19"/>
  <c r="A1405" i="19"/>
  <c r="A1404" i="19"/>
  <c r="A1403" i="19"/>
  <c r="A1400" i="19"/>
  <c r="A1399" i="19"/>
  <c r="A1398" i="19"/>
  <c r="A1397" i="19"/>
  <c r="A1396" i="19"/>
  <c r="A1395" i="19"/>
  <c r="A1394" i="19"/>
  <c r="A1393" i="19"/>
  <c r="A1392" i="19"/>
  <c r="A1391" i="19"/>
  <c r="A1389" i="19"/>
  <c r="A1388" i="19"/>
  <c r="A1387" i="19"/>
  <c r="A1386" i="19"/>
  <c r="A1385" i="19"/>
  <c r="A1384" i="19"/>
  <c r="A1383" i="19"/>
  <c r="A1382" i="19"/>
  <c r="A1381" i="19"/>
  <c r="A1380" i="19"/>
  <c r="A1379" i="19"/>
  <c r="A1378" i="19"/>
  <c r="A1377" i="19"/>
  <c r="A1376" i="19"/>
  <c r="A1374" i="19"/>
  <c r="A1373" i="19"/>
  <c r="A1372" i="19"/>
  <c r="A1370" i="19"/>
  <c r="A1367" i="19"/>
  <c r="A1365" i="19"/>
  <c r="A1364" i="19"/>
  <c r="A1362" i="19"/>
  <c r="A1361" i="19"/>
  <c r="A1360" i="19"/>
  <c r="A1359" i="19"/>
  <c r="A1358" i="19"/>
  <c r="A1357" i="19"/>
  <c r="A1356" i="19"/>
  <c r="A1355" i="19"/>
  <c r="A1353" i="19"/>
  <c r="A1352" i="19"/>
  <c r="A1351" i="19"/>
  <c r="A1350" i="19"/>
  <c r="A1348" i="19"/>
  <c r="A1347" i="19"/>
  <c r="A1346" i="19"/>
  <c r="A1345" i="19"/>
  <c r="A1344" i="19"/>
  <c r="A1343" i="19"/>
  <c r="A1342" i="19"/>
  <c r="A1340" i="19"/>
  <c r="A1339" i="19"/>
  <c r="A1338" i="19"/>
  <c r="A1337" i="19"/>
  <c r="A1336" i="19"/>
  <c r="A1335" i="19"/>
  <c r="A1334" i="19"/>
  <c r="A1333" i="19"/>
  <c r="A1332" i="19"/>
  <c r="A1331" i="19"/>
  <c r="A1330" i="19"/>
  <c r="A1329" i="19"/>
  <c r="A1328" i="19"/>
  <c r="A1327" i="19"/>
  <c r="A1326" i="19"/>
  <c r="A1325" i="19"/>
  <c r="A1323" i="19"/>
  <c r="A1322" i="19"/>
  <c r="A1321" i="19"/>
  <c r="A1320" i="19"/>
  <c r="A1319" i="19"/>
  <c r="A1318" i="19"/>
  <c r="A1317" i="19"/>
  <c r="A1316" i="19"/>
  <c r="A1315"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0" i="19"/>
  <c r="A1289" i="19"/>
  <c r="A1288" i="19"/>
  <c r="A1287" i="19"/>
  <c r="A1286" i="19"/>
  <c r="A1285" i="19"/>
  <c r="A1284" i="19"/>
  <c r="A1283" i="19"/>
  <c r="A1282" i="19"/>
  <c r="A1280" i="19"/>
  <c r="A1279" i="19"/>
  <c r="A1278" i="19"/>
  <c r="A1277" i="19"/>
  <c r="A1276" i="19"/>
  <c r="A1275" i="19"/>
  <c r="A1274" i="19"/>
  <c r="A1273" i="19"/>
  <c r="A1272" i="19"/>
  <c r="A1271" i="19"/>
  <c r="A1270" i="19"/>
  <c r="A1269" i="19"/>
  <c r="A1268" i="19"/>
  <c r="A1267" i="19"/>
  <c r="A1266" i="19"/>
  <c r="A1264" i="19"/>
  <c r="A1263" i="19"/>
  <c r="A1262" i="19"/>
  <c r="A1261" i="19"/>
  <c r="A1260" i="19"/>
  <c r="A1259" i="19"/>
  <c r="A1258" i="19"/>
  <c r="A1257" i="19"/>
  <c r="A1256" i="19"/>
  <c r="A1254" i="19"/>
  <c r="A1253" i="19"/>
  <c r="A1252" i="19"/>
  <c r="A1251" i="19"/>
  <c r="A1250" i="19"/>
  <c r="A1249" i="19"/>
  <c r="A1248" i="19"/>
  <c r="A1247" i="19"/>
  <c r="A1246" i="19"/>
  <c r="A1245" i="19"/>
  <c r="A1244" i="19"/>
  <c r="A1243" i="19"/>
  <c r="A1242" i="19"/>
  <c r="A1241" i="19"/>
  <c r="A1240" i="19"/>
  <c r="A1239" i="19"/>
  <c r="A1238" i="19"/>
  <c r="A1237" i="19"/>
  <c r="A1236" i="19"/>
  <c r="A1235" i="19"/>
  <c r="A1233" i="19"/>
  <c r="A1232" i="19"/>
  <c r="A1231" i="19"/>
  <c r="A1230" i="19"/>
  <c r="A1229" i="19"/>
  <c r="A1228" i="19"/>
  <c r="A1227" i="19"/>
  <c r="A1226" i="19"/>
  <c r="A1225" i="19"/>
  <c r="A1224" i="19"/>
  <c r="A1223" i="19"/>
  <c r="A1222" i="19"/>
  <c r="A1221" i="19"/>
  <c r="A1220" i="19"/>
  <c r="A1219" i="19"/>
  <c r="A1218" i="19"/>
  <c r="A1217" i="19"/>
  <c r="A1216" i="19"/>
  <c r="A1214" i="19"/>
  <c r="A1212" i="19"/>
  <c r="A1211" i="19"/>
  <c r="A1210" i="19"/>
  <c r="A1209" i="19"/>
  <c r="A1208" i="19"/>
  <c r="A1207" i="19"/>
  <c r="A1206" i="19"/>
  <c r="A1205" i="19"/>
  <c r="A1204" i="19"/>
  <c r="A1203" i="19"/>
  <c r="A1202" i="19"/>
  <c r="A1201" i="19"/>
  <c r="A1200" i="19"/>
  <c r="A1199" i="19"/>
  <c r="A1198" i="19"/>
  <c r="A1197" i="19"/>
  <c r="A1196" i="19"/>
  <c r="A1195" i="19"/>
  <c r="A1194" i="19"/>
  <c r="A1193" i="19"/>
  <c r="A1191" i="19"/>
  <c r="A1190" i="19"/>
  <c r="A1189" i="19"/>
  <c r="A1188" i="19"/>
  <c r="A1187" i="19"/>
  <c r="A1186" i="19"/>
  <c r="A1185" i="19"/>
  <c r="A1183"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4" i="19"/>
  <c r="A1153" i="19"/>
  <c r="A1152" i="19"/>
  <c r="A1151" i="19"/>
  <c r="A1150" i="19"/>
  <c r="A1149" i="19"/>
  <c r="A1146" i="19"/>
  <c r="A1145" i="19"/>
  <c r="A1144" i="19"/>
  <c r="A1143" i="19"/>
  <c r="A1142" i="19"/>
  <c r="A1140" i="19"/>
  <c r="A1139" i="19"/>
  <c r="A1138" i="19"/>
  <c r="A1137" i="19"/>
  <c r="A1136" i="19"/>
  <c r="A1135" i="19"/>
  <c r="A1134" i="19"/>
  <c r="A1133" i="19"/>
  <c r="A1132" i="19"/>
  <c r="A1130" i="19"/>
  <c r="A1129" i="19"/>
  <c r="A1128" i="19"/>
  <c r="A1127" i="19"/>
  <c r="A1126" i="19"/>
  <c r="A1125" i="19"/>
  <c r="A1124" i="19"/>
  <c r="A1123" i="19"/>
  <c r="A1122" i="19"/>
  <c r="A1121" i="19"/>
  <c r="A1120" i="19"/>
  <c r="A1119" i="19"/>
  <c r="A1118" i="19"/>
  <c r="A1115" i="19"/>
  <c r="A1114" i="19"/>
  <c r="A1113" i="19"/>
  <c r="A1112" i="19"/>
  <c r="A1110" i="19"/>
  <c r="A1109" i="19"/>
  <c r="A1105" i="19"/>
  <c r="A1104" i="19"/>
  <c r="A1103" i="19"/>
  <c r="A1101" i="19"/>
  <c r="A1100" i="19"/>
  <c r="A1099" i="19"/>
  <c r="A1098" i="19"/>
  <c r="A1097" i="19"/>
  <c r="A1096" i="19"/>
  <c r="A1095" i="19"/>
  <c r="A1094" i="19"/>
  <c r="A1092" i="19"/>
  <c r="A1091" i="19"/>
  <c r="A1090" i="19"/>
  <c r="A1089" i="19"/>
  <c r="A1088" i="19"/>
  <c r="A1087" i="19"/>
  <c r="A1086" i="19"/>
  <c r="A1085" i="19"/>
  <c r="A1084" i="19"/>
  <c r="A1083" i="19"/>
  <c r="A1082" i="19"/>
  <c r="A1081" i="19"/>
  <c r="A1075" i="19"/>
  <c r="A1074" i="19"/>
  <c r="A1073" i="19"/>
  <c r="A1072" i="19"/>
  <c r="A1051" i="19"/>
  <c r="A1049" i="19"/>
  <c r="A1048" i="19"/>
  <c r="A1047" i="19"/>
  <c r="A1046" i="19"/>
  <c r="A1045" i="19"/>
  <c r="A1044" i="19"/>
  <c r="A1043" i="19"/>
  <c r="A1042" i="19"/>
  <c r="A1041" i="19"/>
  <c r="A1040" i="19"/>
  <c r="A1039" i="19"/>
  <c r="A1038" i="19"/>
  <c r="A1037" i="19"/>
  <c r="A1036" i="19"/>
  <c r="A1035" i="19"/>
  <c r="A1031" i="19"/>
  <c r="A1030" i="19"/>
  <c r="A1029" i="19"/>
  <c r="A1027" i="19"/>
  <c r="A1026" i="19"/>
  <c r="A1025" i="19"/>
  <c r="A1024" i="19"/>
  <c r="A1023" i="19"/>
  <c r="A1022" i="19"/>
  <c r="A1021" i="19"/>
  <c r="A1020" i="19"/>
  <c r="A1019" i="19"/>
  <c r="A1018" i="19"/>
  <c r="A1017" i="19"/>
  <c r="A1016" i="19"/>
  <c r="A1015" i="19"/>
  <c r="A1011" i="19"/>
  <c r="A1010" i="19"/>
  <c r="A1009" i="19"/>
  <c r="A1008" i="19"/>
  <c r="A1007" i="19"/>
  <c r="A1006" i="19"/>
  <c r="A1005" i="19"/>
  <c r="A1004" i="19"/>
  <c r="A1003" i="19"/>
  <c r="A1002" i="19"/>
  <c r="A1001" i="19"/>
  <c r="A999" i="19"/>
  <c r="A998" i="19"/>
  <c r="A997" i="19"/>
  <c r="A996" i="19"/>
  <c r="A995" i="19"/>
  <c r="A994" i="19"/>
  <c r="A993" i="19"/>
  <c r="A992" i="19"/>
  <c r="A991" i="19"/>
  <c r="A990" i="19"/>
  <c r="A989" i="19"/>
  <c r="A988" i="19"/>
  <c r="A987" i="19"/>
  <c r="A986" i="19"/>
  <c r="A985" i="19"/>
  <c r="A984" i="19"/>
  <c r="A983" i="19"/>
  <c r="A982" i="19"/>
  <c r="A981"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1" i="19"/>
  <c r="A900" i="19"/>
  <c r="A899" i="19"/>
  <c r="A898" i="19"/>
  <c r="A897" i="19"/>
  <c r="A896" i="19"/>
  <c r="A400" i="19"/>
  <c r="A399" i="19"/>
  <c r="A398" i="19"/>
  <c r="A397" i="19"/>
  <c r="A396" i="19"/>
  <c r="A395" i="19"/>
  <c r="A394" i="19"/>
  <c r="A392" i="19"/>
  <c r="A390" i="19"/>
  <c r="A389" i="19"/>
  <c r="A388" i="19"/>
  <c r="A387" i="19"/>
  <c r="A386" i="19"/>
  <c r="A385" i="19"/>
  <c r="A384" i="19"/>
  <c r="A383" i="19"/>
  <c r="A382" i="19"/>
  <c r="A381"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2" i="19"/>
  <c r="A341" i="19"/>
  <c r="A340" i="19"/>
  <c r="A338" i="19"/>
  <c r="A337" i="19"/>
  <c r="A336" i="19"/>
  <c r="A335" i="19"/>
  <c r="A334" i="19"/>
  <c r="A333" i="19"/>
  <c r="A332" i="19"/>
  <c r="A331" i="19"/>
  <c r="A330" i="19"/>
  <c r="A329" i="19"/>
  <c r="A328" i="19"/>
  <c r="A327" i="19"/>
  <c r="A326" i="19"/>
  <c r="A325" i="19"/>
  <c r="A323" i="19"/>
  <c r="A322" i="19"/>
  <c r="A321" i="19"/>
  <c r="A320" i="19"/>
  <c r="A319" i="19"/>
  <c r="A318" i="19"/>
  <c r="A317" i="19"/>
  <c r="A316" i="19"/>
  <c r="A315" i="19"/>
  <c r="A314" i="19"/>
  <c r="A313" i="19"/>
  <c r="A312" i="19"/>
  <c r="A311"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49" i="19"/>
  <c r="A246"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5" i="19"/>
  <c r="A194" i="19"/>
  <c r="A193" i="19"/>
  <c r="A192" i="19"/>
  <c r="A191" i="19"/>
  <c r="A190" i="19"/>
  <c r="A189" i="19"/>
  <c r="A188" i="19"/>
  <c r="A187" i="19"/>
  <c r="A186" i="19"/>
  <c r="A185" i="19"/>
  <c r="A184" i="19"/>
  <c r="A183" i="19"/>
  <c r="A182" i="19"/>
  <c r="A181" i="19"/>
  <c r="A178" i="19"/>
  <c r="A177" i="19"/>
  <c r="A164" i="19"/>
  <c r="A163" i="19"/>
  <c r="A162" i="19"/>
  <c r="A122" i="19"/>
  <c r="A121" i="19"/>
  <c r="A120" i="19"/>
  <c r="A116" i="19"/>
  <c r="A115" i="19"/>
  <c r="A114" i="19"/>
  <c r="A113" i="19"/>
  <c r="A112" i="19"/>
  <c r="A111" i="19"/>
  <c r="A110" i="19"/>
  <c r="A109" i="19"/>
  <c r="A108" i="19"/>
  <c r="A107" i="19"/>
  <c r="A106" i="19"/>
  <c r="A105" i="19"/>
  <c r="A104" i="19"/>
  <c r="A103" i="19"/>
  <c r="A102" i="19"/>
  <c r="A101" i="19"/>
  <c r="A100" i="19"/>
  <c r="A96" i="19"/>
  <c r="A92" i="19"/>
  <c r="A84" i="19"/>
  <c r="A79" i="19"/>
  <c r="A76" i="19"/>
  <c r="A75" i="19"/>
  <c r="A74" i="19"/>
  <c r="A72" i="19"/>
  <c r="A70" i="19"/>
  <c r="A69" i="19"/>
  <c r="A68" i="19"/>
  <c r="A67" i="19"/>
  <c r="A66" i="19"/>
  <c r="A60" i="19"/>
  <c r="A59" i="19"/>
  <c r="A58" i="19"/>
  <c r="A57" i="19"/>
  <c r="A56" i="19"/>
  <c r="A55" i="19"/>
  <c r="A54" i="19"/>
  <c r="A53" i="19"/>
  <c r="A52" i="19"/>
  <c r="A48" i="19"/>
  <c r="A47" i="19"/>
  <c r="A46" i="19"/>
  <c r="A40" i="19"/>
  <c r="A39" i="19"/>
  <c r="A36" i="19"/>
  <c r="A33" i="19"/>
  <c r="A31" i="19"/>
  <c r="A30" i="19"/>
  <c r="A29" i="19"/>
  <c r="A28" i="19"/>
  <c r="A27" i="19"/>
  <c r="A26" i="19"/>
  <c r="A25" i="19"/>
  <c r="A24" i="19"/>
  <c r="A23" i="19"/>
  <c r="A19" i="19"/>
  <c r="A18" i="19"/>
  <c r="A15" i="19"/>
  <c r="A14" i="19"/>
  <c r="A13" i="19"/>
  <c r="I496" i="12"/>
  <c r="K496" i="12" s="1"/>
  <c r="I495" i="12"/>
  <c r="K495" i="12" s="1"/>
  <c r="K494" i="12"/>
  <c r="K488" i="12"/>
  <c r="K487" i="12"/>
  <c r="K486" i="12"/>
  <c r="K391" i="12"/>
  <c r="K335" i="12"/>
  <c r="K334" i="12"/>
  <c r="K319" i="12"/>
  <c r="K302" i="12"/>
  <c r="K294" i="12"/>
  <c r="K287" i="12"/>
  <c r="K279" i="12"/>
  <c r="K278" i="12"/>
  <c r="K263" i="12"/>
  <c r="K254" i="12"/>
  <c r="K108" i="12"/>
  <c r="K100" i="12"/>
  <c r="K92" i="12"/>
  <c r="K91" i="12"/>
  <c r="K90" i="12"/>
  <c r="E56" i="20" l="1"/>
  <c r="D56" i="20"/>
  <c r="D59" i="20" s="1"/>
  <c r="F56" i="20"/>
  <c r="G56" i="20"/>
  <c r="K499" i="12"/>
  <c r="K490" i="12"/>
  <c r="K498" i="12"/>
  <c r="K95" i="12"/>
  <c r="K491" i="12"/>
  <c r="K485" i="12" s="1"/>
  <c r="K493" i="12"/>
  <c r="K94" i="12"/>
  <c r="K89" i="12" s="1"/>
  <c r="E59" i="20" l="1"/>
  <c r="E3472" i="5"/>
  <c r="E3471" i="5"/>
  <c r="E3470" i="5"/>
  <c r="E3469" i="5"/>
  <c r="E3468" i="5"/>
  <c r="E3467" i="5"/>
  <c r="E3466" i="5"/>
  <c r="E3465" i="5"/>
  <c r="E3464" i="5"/>
  <c r="E3463" i="5"/>
  <c r="E3462" i="5"/>
  <c r="E3461" i="5"/>
  <c r="E3460" i="5"/>
  <c r="E3457" i="5"/>
  <c r="E3456" i="5"/>
  <c r="E3455" i="5" s="1"/>
  <c r="E2492" i="5"/>
  <c r="E2486" i="5"/>
  <c r="E2482" i="5"/>
  <c r="E3459" i="5" l="1"/>
  <c r="F59" i="20"/>
  <c r="E3300" i="5"/>
  <c r="G59" i="20" l="1"/>
  <c r="K140" i="12"/>
  <c r="K325" i="12"/>
  <c r="K318" i="12"/>
  <c r="I456" i="12"/>
  <c r="I455" i="12"/>
  <c r="G58" i="20" l="1"/>
  <c r="K357" i="12"/>
  <c r="F55" i="20" l="1"/>
  <c r="G55" i="20"/>
  <c r="E55" i="20"/>
  <c r="D55" i="20"/>
  <c r="D58" i="20"/>
  <c r="E58" i="20"/>
  <c r="F58" i="20"/>
  <c r="K301" i="12"/>
  <c r="I211" i="12" l="1"/>
  <c r="I196" i="12"/>
  <c r="I195" i="12"/>
  <c r="K133" i="12" l="1"/>
  <c r="K132" i="12"/>
  <c r="K131" i="12"/>
  <c r="K136" i="12" s="1"/>
  <c r="K135" i="12" l="1"/>
  <c r="K130" i="12" s="1"/>
  <c r="K125" i="12"/>
  <c r="K124" i="12"/>
  <c r="K117" i="12"/>
  <c r="K114" i="12" l="1"/>
  <c r="I98" i="12"/>
  <c r="I36" i="12" l="1"/>
  <c r="K36" i="12" s="1"/>
  <c r="I35" i="12"/>
  <c r="K35" i="12" s="1"/>
  <c r="I34" i="12"/>
  <c r="K480" i="12"/>
  <c r="K479" i="12"/>
  <c r="K478" i="12"/>
  <c r="K472" i="12"/>
  <c r="K471" i="12"/>
  <c r="K470" i="12"/>
  <c r="K464" i="12"/>
  <c r="K463" i="12"/>
  <c r="K462" i="12"/>
  <c r="K456" i="12"/>
  <c r="K455" i="12"/>
  <c r="I454" i="12"/>
  <c r="K454" i="12" s="1"/>
  <c r="K448" i="12"/>
  <c r="K447" i="12"/>
  <c r="K446" i="12"/>
  <c r="K440" i="12"/>
  <c r="K439" i="12"/>
  <c r="K438" i="12"/>
  <c r="K432" i="12"/>
  <c r="K431" i="12"/>
  <c r="K430" i="12"/>
  <c r="K434" i="12" s="1"/>
  <c r="K424" i="12"/>
  <c r="K423" i="12"/>
  <c r="K422" i="12"/>
  <c r="K416" i="12"/>
  <c r="K415" i="12"/>
  <c r="K414" i="12"/>
  <c r="K408" i="12"/>
  <c r="K407" i="12"/>
  <c r="K406" i="12"/>
  <c r="K400" i="12"/>
  <c r="K399" i="12"/>
  <c r="K398" i="12"/>
  <c r="K397" i="12"/>
  <c r="K390" i="12"/>
  <c r="K389" i="12"/>
  <c r="K383" i="12"/>
  <c r="K382" i="12"/>
  <c r="K381" i="12"/>
  <c r="K375" i="12"/>
  <c r="K374" i="12"/>
  <c r="K373" i="12"/>
  <c r="K367" i="12"/>
  <c r="K366" i="12"/>
  <c r="K365" i="12"/>
  <c r="K359" i="12"/>
  <c r="K358" i="12"/>
  <c r="K351" i="12"/>
  <c r="K350" i="12"/>
  <c r="K349" i="12"/>
  <c r="K343" i="12"/>
  <c r="K342" i="12"/>
  <c r="K341" i="12"/>
  <c r="K333" i="12"/>
  <c r="K327" i="12"/>
  <c r="K326" i="12"/>
  <c r="K317" i="12"/>
  <c r="K311" i="12"/>
  <c r="K310" i="12"/>
  <c r="K309" i="12"/>
  <c r="K303" i="12"/>
  <c r="K295" i="12"/>
  <c r="K293" i="12"/>
  <c r="K286" i="12"/>
  <c r="K285" i="12"/>
  <c r="K277" i="12"/>
  <c r="K271" i="12"/>
  <c r="K270" i="12"/>
  <c r="K269" i="12"/>
  <c r="K262" i="12"/>
  <c r="K261" i="12"/>
  <c r="K255" i="12"/>
  <c r="K253" i="12"/>
  <c r="K247" i="12"/>
  <c r="K246" i="12"/>
  <c r="K245" i="12"/>
  <c r="K239" i="12"/>
  <c r="K238" i="12"/>
  <c r="K237" i="12"/>
  <c r="K236" i="12"/>
  <c r="K230" i="12"/>
  <c r="K229" i="12"/>
  <c r="K228" i="12"/>
  <c r="K227" i="12"/>
  <c r="K221" i="12"/>
  <c r="K220" i="12"/>
  <c r="K219" i="12"/>
  <c r="I213" i="12"/>
  <c r="K213" i="12" s="1"/>
  <c r="I212" i="12"/>
  <c r="K212" i="12" s="1"/>
  <c r="K211" i="12"/>
  <c r="K205" i="12"/>
  <c r="K204" i="12"/>
  <c r="K203" i="12"/>
  <c r="K197" i="12"/>
  <c r="K196" i="12"/>
  <c r="K195" i="12"/>
  <c r="K189" i="12"/>
  <c r="K188" i="12"/>
  <c r="K187" i="12"/>
  <c r="K181" i="12"/>
  <c r="K180" i="12"/>
  <c r="K179" i="12"/>
  <c r="K173" i="12"/>
  <c r="K172" i="12"/>
  <c r="K171" i="12"/>
  <c r="K165" i="12"/>
  <c r="K164" i="12"/>
  <c r="K163" i="12"/>
  <c r="K157" i="12"/>
  <c r="K156" i="12"/>
  <c r="K155" i="12"/>
  <c r="K149" i="12"/>
  <c r="P148" i="12"/>
  <c r="K148" i="12"/>
  <c r="K147" i="12"/>
  <c r="K141" i="12"/>
  <c r="K139" i="12"/>
  <c r="T132" i="12"/>
  <c r="U132" i="12" s="1"/>
  <c r="P132" i="12"/>
  <c r="P124" i="12"/>
  <c r="K123" i="12"/>
  <c r="K116" i="12"/>
  <c r="P115" i="12"/>
  <c r="K115" i="12"/>
  <c r="P107" i="12"/>
  <c r="K107" i="12"/>
  <c r="K106" i="12"/>
  <c r="P99" i="12"/>
  <c r="K99" i="12"/>
  <c r="K98" i="12"/>
  <c r="K84" i="12"/>
  <c r="K83" i="12"/>
  <c r="K82" i="12"/>
  <c r="J76" i="12"/>
  <c r="K76" i="12" s="1"/>
  <c r="K75" i="12"/>
  <c r="K74" i="12"/>
  <c r="K68" i="12"/>
  <c r="K67" i="12"/>
  <c r="K66" i="12"/>
  <c r="I60" i="12"/>
  <c r="K60" i="12" s="1"/>
  <c r="I59" i="12"/>
  <c r="K59" i="12" s="1"/>
  <c r="I58" i="12"/>
  <c r="K58" i="12" s="1"/>
  <c r="I52" i="12"/>
  <c r="K52" i="12" s="1"/>
  <c r="I51" i="12"/>
  <c r="K51" i="12" s="1"/>
  <c r="I50" i="12"/>
  <c r="K50" i="12" s="1"/>
  <c r="I44" i="12"/>
  <c r="K44" i="12" s="1"/>
  <c r="I43" i="12"/>
  <c r="K43" i="12" s="1"/>
  <c r="I42" i="12"/>
  <c r="K42" i="12" s="1"/>
  <c r="K34" i="12"/>
  <c r="I28" i="12"/>
  <c r="K28" i="12" s="1"/>
  <c r="I27" i="12"/>
  <c r="K27" i="12" s="1"/>
  <c r="I26" i="12"/>
  <c r="K26" i="12" s="1"/>
  <c r="I20" i="12"/>
  <c r="K20" i="12" s="1"/>
  <c r="I19" i="12"/>
  <c r="K19" i="12" s="1"/>
  <c r="I18" i="12"/>
  <c r="K18" i="12" s="1"/>
  <c r="I12" i="12"/>
  <c r="K12" i="12" s="1"/>
  <c r="I11" i="12"/>
  <c r="K11" i="12" s="1"/>
  <c r="I10" i="12"/>
  <c r="K10" i="12" s="1"/>
  <c r="B5" i="12"/>
  <c r="B4" i="12"/>
  <c r="B3" i="12"/>
  <c r="K208" i="12" l="1"/>
  <c r="K119" i="12"/>
  <c r="K176" i="12"/>
  <c r="K443" i="12"/>
  <c r="K475" i="12"/>
  <c r="K281" i="12"/>
  <c r="K321" i="12"/>
  <c r="K191" i="12"/>
  <c r="K200" i="12"/>
  <c r="K257" i="12"/>
  <c r="K330" i="12"/>
  <c r="K393" i="12"/>
  <c r="K483" i="12"/>
  <c r="K79" i="12"/>
  <c r="K345" i="12"/>
  <c r="K378" i="12"/>
  <c r="K207" i="12"/>
  <c r="K202" i="12" s="1"/>
  <c r="K274" i="12"/>
  <c r="K266" i="12"/>
  <c r="K143" i="12"/>
  <c r="K370" i="12"/>
  <c r="K338" i="12"/>
  <c r="K354" i="12"/>
  <c r="K411" i="12"/>
  <c r="K120" i="12"/>
  <c r="K113" i="12" s="1"/>
  <c r="K298" i="12"/>
  <c r="K289" i="12"/>
  <c r="K458" i="12"/>
  <c r="K459" i="12"/>
  <c r="K442" i="12"/>
  <c r="K437" i="12" s="1"/>
  <c r="K144" i="12"/>
  <c r="K152" i="12"/>
  <c r="K250" i="12"/>
  <c r="K282" i="12"/>
  <c r="K353" i="12"/>
  <c r="K385" i="12"/>
  <c r="K346" i="12"/>
  <c r="K290" i="12"/>
  <c r="K362" i="12"/>
  <c r="K394" i="12"/>
  <c r="K426" i="12"/>
  <c r="K403" i="12"/>
  <c r="K168" i="12"/>
  <c r="K128" i="12"/>
  <c r="K322" i="12"/>
  <c r="K233" i="12"/>
  <c r="K435" i="12"/>
  <c r="K192" i="12"/>
  <c r="K402" i="12"/>
  <c r="K467" i="12"/>
  <c r="K224" i="12"/>
  <c r="K258" i="12"/>
  <c r="K297" i="12"/>
  <c r="K361" i="12"/>
  <c r="K306" i="12"/>
  <c r="K419" i="12"/>
  <c r="K451" i="12"/>
  <c r="K71" i="12"/>
  <c r="K167" i="12"/>
  <c r="K242" i="12"/>
  <c r="K314" i="12"/>
  <c r="K23" i="12"/>
  <c r="K22" i="12"/>
  <c r="K216" i="12"/>
  <c r="K47" i="12"/>
  <c r="K46" i="12"/>
  <c r="K63" i="12"/>
  <c r="K62" i="12"/>
  <c r="K31" i="12"/>
  <c r="K30" i="12"/>
  <c r="K103" i="12"/>
  <c r="K102" i="12"/>
  <c r="K55" i="12"/>
  <c r="K54" i="12"/>
  <c r="K39" i="12"/>
  <c r="K38" i="12"/>
  <c r="K305" i="12"/>
  <c r="K386" i="12"/>
  <c r="K427" i="12"/>
  <c r="K466" i="12"/>
  <c r="K86" i="12"/>
  <c r="K183" i="12"/>
  <c r="K232" i="12"/>
  <c r="K369" i="12"/>
  <c r="K87" i="12"/>
  <c r="K110" i="12"/>
  <c r="K184" i="12"/>
  <c r="K265" i="12"/>
  <c r="K329" i="12"/>
  <c r="K410" i="12"/>
  <c r="K111" i="12"/>
  <c r="K159" i="12"/>
  <c r="K450" i="12"/>
  <c r="K14" i="12"/>
  <c r="K160" i="12"/>
  <c r="K15" i="12"/>
  <c r="K199" i="12"/>
  <c r="K223" i="12"/>
  <c r="K249" i="12"/>
  <c r="K313" i="12"/>
  <c r="K474" i="12"/>
  <c r="K78" i="12"/>
  <c r="K175" i="12"/>
  <c r="K170" i="12" s="1"/>
  <c r="K377" i="12"/>
  <c r="K127" i="12"/>
  <c r="K273" i="12"/>
  <c r="K337" i="12"/>
  <c r="K151" i="12"/>
  <c r="K418" i="12"/>
  <c r="K70" i="12"/>
  <c r="K65" i="12" s="1"/>
  <c r="K215" i="12"/>
  <c r="K241" i="12"/>
  <c r="K482" i="12"/>
  <c r="K469" i="12" l="1"/>
  <c r="K477" i="12"/>
  <c r="K372" i="12"/>
  <c r="K276" i="12"/>
  <c r="K388" i="12"/>
  <c r="K235" i="12"/>
  <c r="K405" i="12"/>
  <c r="K340" i="12"/>
  <c r="K348" i="12"/>
  <c r="K332" i="12"/>
  <c r="K316" i="12"/>
  <c r="K260" i="12"/>
  <c r="K421" i="12"/>
  <c r="K461" i="12"/>
  <c r="K186" i="12"/>
  <c r="K364" i="12"/>
  <c r="K194" i="12"/>
  <c r="K324" i="12"/>
  <c r="K268" i="12"/>
  <c r="K17" i="12"/>
  <c r="K284" i="12"/>
  <c r="K244" i="12"/>
  <c r="K49" i="12"/>
  <c r="K57" i="12"/>
  <c r="K292" i="12"/>
  <c r="K162" i="12"/>
  <c r="K138" i="12"/>
  <c r="K413" i="12"/>
  <c r="K226" i="12"/>
  <c r="K252" i="12"/>
  <c r="K73" i="12"/>
  <c r="K453" i="12"/>
  <c r="K429" i="12"/>
  <c r="K356" i="12"/>
  <c r="K308" i="12"/>
  <c r="K300" i="12"/>
  <c r="K210" i="12"/>
  <c r="K146" i="12"/>
  <c r="K122" i="12"/>
  <c r="K445" i="12"/>
  <c r="K218" i="12"/>
  <c r="K396" i="12"/>
  <c r="K41" i="12"/>
  <c r="K380" i="12"/>
  <c r="K105" i="12"/>
  <c r="K97" i="12"/>
  <c r="K33" i="12"/>
  <c r="K25" i="12"/>
  <c r="K9" i="12"/>
  <c r="K154" i="12"/>
  <c r="K178" i="12"/>
  <c r="K81" i="12"/>
  <c r="E2908" i="5" l="1"/>
  <c r="E2907" i="5"/>
  <c r="E2901" i="5"/>
  <c r="E3447" i="5" l="1"/>
  <c r="E3335" i="5"/>
  <c r="E3329" i="5"/>
  <c r="E369" i="5"/>
  <c r="E3321" i="5"/>
  <c r="E464" i="5"/>
  <c r="E461" i="5" l="1"/>
  <c r="E458" i="5"/>
  <c r="E460" i="5"/>
  <c r="E456" i="5"/>
  <c r="E453" i="5"/>
  <c r="E3010" i="5" l="1"/>
  <c r="E3009" i="5"/>
  <c r="E3008" i="5"/>
  <c r="E3007" i="5"/>
  <c r="E3006" i="5"/>
  <c r="E3005" i="5"/>
  <c r="E367" i="5"/>
  <c r="E366" i="5" l="1"/>
  <c r="E365" i="5"/>
  <c r="E364" i="5"/>
  <c r="E363" i="5"/>
  <c r="E362" i="5"/>
  <c r="E3101" i="5"/>
  <c r="E1596" i="5"/>
  <c r="E391" i="5"/>
  <c r="E149" i="5"/>
  <c r="E3057" i="5" l="1"/>
  <c r="E2328" i="5"/>
  <c r="E2324" i="5"/>
  <c r="E2973" i="5" l="1"/>
  <c r="E2674" i="5" l="1"/>
  <c r="E2673" i="5"/>
  <c r="E2672" i="5"/>
  <c r="E2671" i="5"/>
  <c r="E2670" i="5"/>
  <c r="E2669" i="5"/>
  <c r="E2668" i="5"/>
  <c r="E2667" i="5"/>
  <c r="E2524" i="5"/>
  <c r="E1762" i="5"/>
  <c r="E1726" i="5"/>
  <c r="E2665" i="5" l="1"/>
  <c r="E389" i="5"/>
  <c r="E388" i="5" s="1"/>
  <c r="E244" i="5" l="1"/>
  <c r="E122" i="5"/>
  <c r="E121" i="5"/>
  <c r="E120" i="5"/>
  <c r="E119" i="5"/>
  <c r="E118" i="5"/>
  <c r="E117" i="5"/>
  <c r="E116" i="5"/>
  <c r="E115" i="5"/>
  <c r="E3378" i="5"/>
  <c r="E3377" i="5"/>
  <c r="E3376" i="5"/>
  <c r="E3372" i="5"/>
  <c r="E3368" i="5"/>
  <c r="E3364" i="5"/>
  <c r="E3360" i="5"/>
  <c r="E3359" i="5"/>
  <c r="E3358" i="5"/>
  <c r="E3357" i="5"/>
  <c r="E3356" i="5"/>
  <c r="E3352" i="5"/>
  <c r="E3351" i="5"/>
  <c r="E3347" i="5"/>
  <c r="E3346" i="5"/>
  <c r="E3345" i="5"/>
  <c r="E1566" i="5"/>
  <c r="E2326" i="5"/>
  <c r="E2304" i="5"/>
  <c r="E2371" i="5"/>
  <c r="E2322" i="5"/>
  <c r="E101" i="5"/>
  <c r="E2956" i="5"/>
  <c r="E2955" i="5"/>
  <c r="E2965" i="5"/>
  <c r="E2964" i="5"/>
  <c r="E2963" i="5"/>
  <c r="E2962" i="5"/>
  <c r="E2961" i="5"/>
  <c r="E2960" i="5"/>
  <c r="E2959" i="5"/>
  <c r="E2958" i="5"/>
  <c r="E2954" i="5"/>
  <c r="E2909" i="5"/>
  <c r="E3027" i="5"/>
  <c r="E3077" i="5"/>
  <c r="E3075" i="5" s="1"/>
  <c r="E2929" i="5"/>
  <c r="E2928" i="5"/>
  <c r="E2927" i="5"/>
  <c r="E3072" i="5"/>
  <c r="E3055" i="5"/>
  <c r="E3054" i="5"/>
  <c r="E3394" i="5"/>
  <c r="E3314" i="5"/>
  <c r="E3311" i="5"/>
  <c r="E3309" i="5"/>
  <c r="E3308" i="5" s="1"/>
  <c r="E3304" i="5"/>
  <c r="E3297" i="5"/>
  <c r="E3184" i="5"/>
  <c r="E3182" i="5" s="1"/>
  <c r="E3180" i="5"/>
  <c r="E3178" i="5" s="1"/>
  <c r="E3294" i="5"/>
  <c r="E3144" i="5"/>
  <c r="E3291" i="5"/>
  <c r="E3288" i="5"/>
  <c r="E3444" i="5"/>
  <c r="E3441" i="5"/>
  <c r="E3438" i="5"/>
  <c r="E3435" i="5"/>
  <c r="E3432" i="5"/>
  <c r="E3429" i="5"/>
  <c r="E3426" i="5"/>
  <c r="E3423" i="5"/>
  <c r="E3420" i="5"/>
  <c r="E3417" i="5"/>
  <c r="E3414" i="5"/>
  <c r="E3411" i="5"/>
  <c r="E3408" i="5"/>
  <c r="E3026" i="5"/>
  <c r="E3025" i="5"/>
  <c r="E3024" i="5"/>
  <c r="E3071" i="5"/>
  <c r="E3070" i="5"/>
  <c r="E3069" i="5"/>
  <c r="E3068" i="5"/>
  <c r="E3067" i="5"/>
  <c r="E2837" i="5"/>
  <c r="E2836" i="5" s="1"/>
  <c r="E3001" i="5"/>
  <c r="E3000" i="5"/>
  <c r="E3285" i="5"/>
  <c r="E3277" i="5"/>
  <c r="E3273" i="5"/>
  <c r="E3238" i="5"/>
  <c r="E2969" i="5"/>
  <c r="E2968" i="5"/>
  <c r="E2840" i="5"/>
  <c r="E2839" i="5" s="1"/>
  <c r="E2479" i="5"/>
  <c r="E2362" i="5"/>
  <c r="E2361" i="5" s="1"/>
  <c r="E1609" i="5"/>
  <c r="E3405" i="5"/>
  <c r="E1155" i="5"/>
  <c r="E566" i="5"/>
  <c r="E490" i="5"/>
  <c r="E484" i="5"/>
  <c r="E469" i="5"/>
  <c r="E468" i="5"/>
  <c r="E442" i="5"/>
  <c r="E434" i="5"/>
  <c r="E361" i="5"/>
  <c r="E355" i="5"/>
  <c r="E345" i="5"/>
  <c r="E325" i="5"/>
  <c r="E1686" i="5"/>
  <c r="E1605" i="5"/>
  <c r="E1638" i="5"/>
  <c r="E1650" i="5"/>
  <c r="E1580" i="5"/>
  <c r="E2054" i="5"/>
  <c r="E1957" i="5"/>
  <c r="E1683" i="5"/>
  <c r="E1633" i="5"/>
  <c r="E69" i="5"/>
  <c r="E68" i="5" s="1"/>
  <c r="E2800" i="5"/>
  <c r="E416" i="5"/>
  <c r="E3023" i="5" l="1"/>
  <c r="E284" i="5"/>
  <c r="E283" i="5"/>
  <c r="E405" i="5"/>
  <c r="E38" i="5"/>
  <c r="E24" i="5"/>
  <c r="E413" i="5"/>
  <c r="E2466" i="5"/>
  <c r="E2469" i="5"/>
  <c r="E2468" i="5"/>
  <c r="E2467" i="5"/>
  <c r="E17" i="5"/>
  <c r="E16" i="5" s="1"/>
  <c r="E2906" i="5" l="1"/>
  <c r="E2905" i="5"/>
  <c r="E2904" i="5" l="1"/>
  <c r="E2903" i="5"/>
  <c r="E2878" i="5"/>
  <c r="E2967" i="5"/>
  <c r="E2251" i="5"/>
  <c r="E3066" i="5"/>
  <c r="E2637" i="5"/>
  <c r="E212" i="5"/>
  <c r="E2898" i="5"/>
  <c r="E2896" i="5"/>
  <c r="E3039" i="5"/>
  <c r="E2891" i="5"/>
  <c r="E2890" i="5"/>
  <c r="E2894" i="5"/>
  <c r="E2889" i="5"/>
  <c r="E3038" i="5"/>
  <c r="E2886" i="5"/>
  <c r="E3037" i="5"/>
  <c r="E2883" i="5"/>
  <c r="E2882" i="5"/>
  <c r="E3036" i="5"/>
  <c r="E3034" i="5" l="1"/>
  <c r="E2730" i="5"/>
  <c r="E2729" i="5" s="1"/>
  <c r="E2661" i="5"/>
  <c r="E2660" i="5" s="1"/>
  <c r="E126" i="5"/>
  <c r="E402" i="5"/>
  <c r="E401" i="5" s="1"/>
  <c r="E324" i="5"/>
  <c r="E323" i="5" s="1"/>
  <c r="E2596" i="5" l="1"/>
  <c r="E2595" i="5"/>
  <c r="E2594" i="5"/>
  <c r="E2593" i="5"/>
  <c r="E52" i="5"/>
  <c r="E2877" i="5"/>
  <c r="E2944" i="5"/>
  <c r="E49" i="5"/>
  <c r="E2256" i="5"/>
  <c r="E2946" i="5"/>
  <c r="E2477" i="5"/>
  <c r="E2475" i="5" s="1"/>
  <c r="E2473" i="5"/>
  <c r="E398" i="5"/>
  <c r="E2555" i="5"/>
  <c r="E2554" i="5"/>
  <c r="E92" i="5"/>
  <c r="E77" i="5"/>
  <c r="E2686" i="5"/>
  <c r="E2916" i="5"/>
  <c r="E2999" i="5"/>
  <c r="E2249" i="5"/>
  <c r="E2715" i="5"/>
  <c r="E2726" i="5"/>
  <c r="E2725" i="5"/>
  <c r="E2254" i="5"/>
  <c r="E2255" i="5"/>
  <c r="E2876" i="5"/>
  <c r="E2875" i="5"/>
  <c r="E2997" i="5"/>
  <c r="E2996" i="5"/>
  <c r="E2871" i="5"/>
  <c r="E2724" i="5"/>
  <c r="E396" i="5"/>
  <c r="E2874" i="5"/>
  <c r="E2873" i="5"/>
  <c r="E2872" i="5"/>
  <c r="E2253" i="5" l="1"/>
  <c r="E2723" i="5"/>
  <c r="E2732" i="5"/>
  <c r="E395" i="5"/>
  <c r="E2771" i="5"/>
  <c r="E2768" i="5"/>
  <c r="E2765" i="5"/>
  <c r="E2915" i="5"/>
  <c r="E2612" i="5"/>
  <c r="E2980" i="5"/>
  <c r="E2966" i="5"/>
  <c r="E2567" i="5"/>
  <c r="E2520" i="5"/>
  <c r="E2214" i="5"/>
  <c r="E84" i="5"/>
  <c r="E2566" i="5"/>
  <c r="E2565" i="5"/>
  <c r="E83" i="5"/>
  <c r="E2564" i="5"/>
  <c r="E87" i="5"/>
  <c r="E2563" i="5"/>
  <c r="E82" i="5"/>
  <c r="E2562" i="5"/>
  <c r="E2561" i="5"/>
  <c r="E81" i="5"/>
  <c r="E2560" i="5"/>
  <c r="E2558" i="5"/>
  <c r="E2957" i="5"/>
  <c r="E2559" i="5"/>
  <c r="E2519" i="5"/>
  <c r="E2213" i="5"/>
  <c r="E80" i="5"/>
  <c r="E562" i="5"/>
  <c r="E561" i="5" s="1"/>
  <c r="E2869" i="5"/>
  <c r="E2943" i="5"/>
  <c r="E2942" i="5"/>
  <c r="E2544" i="5"/>
  <c r="E2515" i="5"/>
  <c r="E2207" i="5"/>
  <c r="E79" i="5"/>
  <c r="E2713" i="5"/>
  <c r="E2685" i="5"/>
  <c r="E2684" i="5" s="1"/>
  <c r="E2868" i="5"/>
  <c r="E2712" i="5"/>
  <c r="E2556" i="5"/>
  <c r="E53" i="5"/>
  <c r="E2940" i="5"/>
  <c r="E2711" i="5"/>
  <c r="E2941" i="5"/>
  <c r="E2592" i="5"/>
  <c r="E2591" i="5" s="1"/>
  <c r="E3065" i="5"/>
  <c r="E3064" i="5" s="1"/>
  <c r="E2349" i="5"/>
  <c r="E2348" i="5" s="1"/>
  <c r="E2369" i="5"/>
  <c r="E2368" i="5" s="1"/>
  <c r="E14" i="5"/>
  <c r="E241" i="5"/>
  <c r="E240" i="5"/>
  <c r="E239" i="5"/>
  <c r="E238" i="5"/>
  <c r="E237" i="5"/>
  <c r="E236" i="5"/>
  <c r="E235" i="5"/>
  <c r="E1563" i="5"/>
  <c r="E878" i="5"/>
  <c r="E1511" i="5"/>
  <c r="E1510" i="5"/>
  <c r="E796" i="5"/>
  <c r="E793" i="5"/>
  <c r="E954" i="5"/>
  <c r="E3052" i="5"/>
  <c r="E3053" i="5"/>
  <c r="E2312" i="5"/>
  <c r="E2311" i="5"/>
  <c r="E3051" i="5" l="1"/>
  <c r="E2710" i="5"/>
  <c r="E234" i="5"/>
  <c r="E1459" i="5"/>
  <c r="E1455" i="5"/>
  <c r="E1452" i="5"/>
  <c r="E727" i="5"/>
  <c r="E1307" i="5"/>
  <c r="E968" i="5"/>
  <c r="E962" i="5"/>
  <c r="E1068" i="5"/>
  <c r="I1072" i="5"/>
  <c r="H1072" i="5"/>
  <c r="G1072" i="5"/>
  <c r="E1535" i="5"/>
  <c r="E1153" i="5"/>
  <c r="E1312" i="5"/>
  <c r="E1521" i="5"/>
  <c r="E955" i="5" l="1"/>
  <c r="E961" i="5" s="1"/>
  <c r="E2174" i="5"/>
  <c r="E698" i="5"/>
  <c r="E2171" i="5"/>
  <c r="E1877" i="5"/>
  <c r="E2168" i="5"/>
  <c r="E2165" i="5"/>
  <c r="E1842" i="5"/>
  <c r="E2162" i="5"/>
  <c r="E2159" i="5"/>
  <c r="E2156" i="5"/>
  <c r="E2153" i="5"/>
  <c r="E2150" i="5"/>
  <c r="E462" i="5"/>
  <c r="E2320" i="5"/>
  <c r="E2310" i="5"/>
  <c r="E2307" i="5" s="1"/>
  <c r="E953" i="5" l="1"/>
  <c r="E967" i="5"/>
  <c r="E3255" i="5"/>
  <c r="E2471" i="5"/>
  <c r="E2465" i="5"/>
  <c r="E2463" i="5" s="1"/>
  <c r="E3242" i="5"/>
  <c r="E3402" i="5"/>
  <c r="E3399" i="5" l="1"/>
  <c r="E3396" i="5"/>
  <c r="E3393" i="5"/>
  <c r="E3362" i="5"/>
  <c r="E3366" i="5"/>
  <c r="E3370" i="5"/>
  <c r="E3374" i="5"/>
  <c r="E3235" i="5"/>
  <c r="E357" i="5"/>
  <c r="E358" i="5"/>
  <c r="E359" i="5"/>
  <c r="E360" i="5"/>
  <c r="E356" i="5"/>
  <c r="E1438" i="5"/>
  <c r="E1415" i="5"/>
  <c r="E873" i="5"/>
  <c r="E353" i="5" l="1"/>
  <c r="E1625" i="5"/>
  <c r="E2993" i="5" l="1"/>
  <c r="E2972" i="5"/>
  <c r="E2952" i="5"/>
  <c r="E2951" i="5"/>
  <c r="E2949" i="5"/>
  <c r="E2948" i="5"/>
  <c r="E2938" i="5" s="1"/>
  <c r="E2318" i="5"/>
  <c r="E3354" i="5" l="1"/>
  <c r="E3349" i="5"/>
  <c r="E3343" i="5"/>
  <c r="E3232" i="5" l="1"/>
  <c r="E3233" i="5"/>
  <c r="E478" i="5"/>
  <c r="E2738" i="5"/>
  <c r="E2630" i="5"/>
  <c r="E2622" i="5"/>
  <c r="E2606" i="5"/>
  <c r="E2209" i="5"/>
  <c r="E2517" i="5" s="1"/>
  <c r="E2208" i="5"/>
  <c r="E2516" i="5" s="1"/>
  <c r="E2206" i="5"/>
  <c r="E2514" i="5" s="1"/>
  <c r="E2205" i="5"/>
  <c r="E2210" i="5"/>
  <c r="E2518" i="5" s="1"/>
  <c r="E488" i="5"/>
  <c r="E467" i="5"/>
  <c r="E466" i="5" s="1"/>
  <c r="E1560" i="5"/>
  <c r="E1485" i="5"/>
  <c r="E1509" i="5"/>
  <c r="E1488" i="5"/>
  <c r="E1257" i="5"/>
  <c r="E1255" i="5" s="1"/>
  <c r="E1121" i="5"/>
  <c r="E1101" i="5"/>
  <c r="E1099" i="5" s="1"/>
  <c r="E1066" i="5"/>
  <c r="E1010" i="5"/>
  <c r="E1009" i="5" s="1"/>
  <c r="E966" i="5"/>
  <c r="E965" i="5" s="1"/>
  <c r="E826" i="5"/>
  <c r="E815" i="5"/>
  <c r="E800" i="5"/>
  <c r="E1476" i="5"/>
  <c r="E712" i="5"/>
  <c r="E2203" i="5" l="1"/>
  <c r="E1532" i="5"/>
  <c r="E1483" i="5"/>
  <c r="E2513" i="5"/>
  <c r="E2511" i="5" s="1"/>
  <c r="E3230" i="5"/>
  <c r="E2546" i="5"/>
  <c r="E2545" i="5"/>
  <c r="E2543" i="5"/>
  <c r="E2542" i="5"/>
  <c r="E2547" i="5"/>
  <c r="E960" i="5"/>
  <c r="E959" i="5" s="1"/>
  <c r="E1117" i="5"/>
  <c r="E652" i="5" l="1"/>
  <c r="E1529" i="5"/>
  <c r="E1366" i="5"/>
  <c r="E1491" i="5"/>
  <c r="E1064" i="5"/>
  <c r="E1073" i="5"/>
  <c r="E1041" i="5" l="1"/>
  <c r="E1040" i="5" s="1"/>
  <c r="E1050" i="5"/>
  <c r="E1046" i="5"/>
  <c r="E795" i="5"/>
  <c r="E794" i="5"/>
  <c r="E823" i="5"/>
  <c r="E112" i="5"/>
  <c r="E109" i="5"/>
  <c r="E91" i="5"/>
  <c r="E90" i="5"/>
  <c r="E147" i="5"/>
  <c r="E146" i="5"/>
  <c r="E89" i="5"/>
  <c r="E48" i="5"/>
  <c r="E47" i="5"/>
  <c r="E459" i="5"/>
  <c r="E380" i="5"/>
  <c r="E98" i="5"/>
  <c r="E132" i="5"/>
  <c r="E131" i="5" s="1"/>
  <c r="E104" i="5" l="1"/>
  <c r="E463" i="5" s="1"/>
  <c r="E145" i="5"/>
  <c r="E792" i="5"/>
  <c r="E2881" i="5"/>
  <c r="E2870" i="5" l="1"/>
  <c r="E2867" i="5"/>
  <c r="E74" i="5"/>
  <c r="E73" i="5"/>
  <c r="E2553" i="5"/>
  <c r="E2552" i="5"/>
  <c r="E2550" i="5"/>
  <c r="E2549" i="5"/>
  <c r="E2548" i="5"/>
  <c r="E2540" i="5" l="1"/>
  <c r="E2245" i="5"/>
  <c r="E2244" i="5"/>
  <c r="E2250" i="5"/>
  <c r="E2247" i="5" s="1"/>
  <c r="E78" i="5"/>
  <c r="E482" i="5"/>
  <c r="E125" i="5"/>
  <c r="E124" i="5" s="1"/>
  <c r="E455" i="5" s="1"/>
  <c r="E2241" i="5" l="1"/>
  <c r="E76" i="5"/>
  <c r="E75" i="5"/>
  <c r="E56" i="5"/>
  <c r="E33" i="5"/>
  <c r="E34" i="5"/>
  <c r="E35" i="5"/>
  <c r="E32" i="5"/>
  <c r="E2902" i="5"/>
  <c r="E2865" i="5" s="1"/>
  <c r="E21" i="5" l="1"/>
  <c r="H1057" i="5" l="1"/>
  <c r="E1547" i="5"/>
  <c r="E1543" i="5"/>
  <c r="E1539" i="5"/>
  <c r="E1525" i="5"/>
  <c r="E1332" i="5"/>
  <c r="E732" i="5"/>
  <c r="E1517" i="5"/>
  <c r="E1557" i="5"/>
  <c r="E258" i="5"/>
  <c r="E253" i="5"/>
  <c r="E206" i="5"/>
  <c r="E457" i="5" s="1"/>
  <c r="E86" i="5"/>
  <c r="E88" i="5"/>
  <c r="E85" i="5"/>
  <c r="E71" i="5" s="1"/>
  <c r="E13" i="5"/>
  <c r="E11" i="5" s="1"/>
  <c r="E454" i="5" l="1"/>
  <c r="E452" i="5"/>
  <c r="E1554" i="5"/>
  <c r="E1551" i="5"/>
  <c r="E717" i="5"/>
  <c r="H1061" i="5"/>
  <c r="H1060" i="5"/>
  <c r="H1059" i="5"/>
  <c r="E451" i="5" l="1"/>
  <c r="E350" i="5"/>
  <c r="E344" i="5"/>
  <c r="E319" i="5"/>
  <c r="E304" i="5"/>
  <c r="E291" i="5" s="1"/>
  <c r="E275" i="5"/>
  <c r="E259" i="5"/>
  <c r="E278" i="5"/>
  <c r="E262" i="5"/>
  <c r="E261" i="5"/>
  <c r="E260" i="5"/>
  <c r="E285" i="5"/>
  <c r="E282" i="5"/>
  <c r="E277" i="5"/>
  <c r="E276" i="5"/>
  <c r="E273" i="5"/>
  <c r="E272" i="5"/>
  <c r="E271" i="5"/>
  <c r="E270" i="5"/>
  <c r="E269" i="5"/>
  <c r="E268" i="5"/>
  <c r="E266" i="5"/>
  <c r="E267" i="5"/>
  <c r="E274" i="5"/>
  <c r="E257" i="5"/>
  <c r="E256" i="5"/>
  <c r="E255" i="5"/>
  <c r="E254" i="5"/>
  <c r="E252" i="5"/>
  <c r="E251" i="5"/>
  <c r="E280" i="5" l="1"/>
  <c r="E264" i="5"/>
  <c r="E249" i="5"/>
  <c r="E1140" i="5"/>
  <c r="E1104" i="5"/>
  <c r="E1322" i="5"/>
  <c r="E1514" i="5"/>
  <c r="E1152" i="5" l="1"/>
  <c r="E781" i="5"/>
  <c r="E780" i="5" s="1"/>
  <c r="E659" i="5"/>
  <c r="E3187" i="5"/>
  <c r="E332" i="5"/>
</calcChain>
</file>

<file path=xl/sharedStrings.xml><?xml version="1.0" encoding="utf-8"?>
<sst xmlns="http://schemas.openxmlformats.org/spreadsheetml/2006/main" count="13559" uniqueCount="4974">
  <si>
    <t>MEMORIAL DE CÁLCULO DE QUANTITATIVOS</t>
  </si>
  <si>
    <t xml:space="preserve">OBRA: </t>
  </si>
  <si>
    <t>LOCAL:</t>
  </si>
  <si>
    <t xml:space="preserve">DATA: </t>
  </si>
  <si>
    <t>ITEM</t>
  </si>
  <si>
    <t>CÓDIGO</t>
  </si>
  <si>
    <t>DESCRIÇÃO DOS SERVIÇOS</t>
  </si>
  <si>
    <t>UN.</t>
  </si>
  <si>
    <t>QUANTIDADE</t>
  </si>
  <si>
    <t>SERVIÇOS PRELIMINARES</t>
  </si>
  <si>
    <t>S/U</t>
  </si>
  <si>
    <t>DEMOLIÇÃO MANUAL - COBERTURA TELHA METÁLICA COM TRANSPORTE ATÉ CAÇAMBA E CARGA</t>
  </si>
  <si>
    <t xml:space="preserve">m2    </t>
  </si>
  <si>
    <t>DEMOLIÇÃO MANUAL DE COBERTURA EM TELHA CERAMICA COM TRANSPORTE ATÉ CAÇAMBA E CARGA</t>
  </si>
  <si>
    <t>DEMOLICAO MANUAL COBERTURA TELHA FIBROCIMENTO/FIBRA DE VIDRO/SIMILARES C/ TRANSP. ATÉ CB. E CARGA</t>
  </si>
  <si>
    <t>DEMOLIÇÃO MANUAL ESTRUTURA EM MADEIRA TELHADO COM TRANSPORTE ATÉ CAÇAMBA E CARGA</t>
  </si>
  <si>
    <t>DEMOLIÇÃO MANUAL DE RIPA COM TRANSPORTE ATÉ CAÇAMBA E CARGA</t>
  </si>
  <si>
    <t>DEMOLIÇÃO MANUAL FORRO PAULISTA COM TRANSPORTE ATÉ CAÇAMBA E CARGA</t>
  </si>
  <si>
    <t>REMOÇÃO MANUAL DE JANELA OU PORTAL COM TRANSPORTE ATÉ CAÇAMBA E CARGA</t>
  </si>
  <si>
    <t xml:space="preserve">CORTE, DESTOCAMENTO, RETIRADA E REATERRO (MANUAIS) DE ÁRVORE GRANDE PORTE (H = 8 A 10 M / DIÂMETRO TRONCO 60 A 70CM E COPA DE 10 A 13M ) C/ TRANSPORTE ATE CAÇAMBA E CARGA </t>
  </si>
  <si>
    <t>DEMOLIÇÃO MANUAL PISO/VIGA DE MADEIRA COM TRANSPORTE ATÉ CAÇAMBA E CARGA</t>
  </si>
  <si>
    <t>DEMOLIÇÃO MANUAL DE PISO CIMENTICIO SOBRE LASTRO DE CONCRETO COM TRANSPORTE ATE CAÇAMBA E CARGA</t>
  </si>
  <si>
    <t>DEMOLIÇÃO MANUAL DE PISO EM LADRILHO HIDRAULICO COM TRANSPORTE ATE CAÇAMBA E CARGA</t>
  </si>
  <si>
    <t>DEMOLIÇÃO MANUAL DE PISO CERÂMICO SOBRE LASTRO DE CONCRETO COM TRANSPORTE ATÉ CAÇAMBA E CARGA</t>
  </si>
  <si>
    <t>DEMOLIÇÃO MANUAL DE PISO CERÂMICO INCLUSIVE RETIRADA DE CONTRAPISO SOBRE LASTRO DE CONCRETO COM TRANSPORTE ATÉ CAÇAMBA E CARGA</t>
  </si>
  <si>
    <t>DEMOLIÇÃO MANUAL DE ASSOALHO DE MADEIRA COM TRANSPORTE ATÉ CAÇAMBA E CARGA</t>
  </si>
  <si>
    <t>DEMOLIÇÃO MANUAL DE REVESTIMENTOS COM AZULEJO COM TRANSPORTE ATE CAÇAMBA E CARGA</t>
  </si>
  <si>
    <t>DEMOLIÇÃO MANUAL DE LAMBRIL COM APROVEITAMENTO</t>
  </si>
  <si>
    <t>DEMOLIÇÃO MANUAL DE REVESTIMENTO COM ARGAMASSA COM TRANSPORTE ATÉ CAÇAMBA E CARGA</t>
  </si>
  <si>
    <t>DEMOLIÇÃO MANUAL ALVENARIA TIJOLO SEM REAPROVEITAMENTO COM TRANSPORTE ATE CAÇAMBA E CARGA</t>
  </si>
  <si>
    <t xml:space="preserve">m3    </t>
  </si>
  <si>
    <t>DEMOLICÃO MANUAL DE ALVENARIA DE TIJOLO COM REAPROVEITAMENTO</t>
  </si>
  <si>
    <t>DEMOLIÇÃO MANUAL EM CONCRETO SIMPLES COM TRANSPORTE ATÉ CAÇAMBA E CARGA</t>
  </si>
  <si>
    <t>DEMOLIÇÃO MANUAL DE LAJE PRÉ-MOLDADA COM TRANSPORTE ATÉ CAÇAMBA E CARGA</t>
  </si>
  <si>
    <t>DEMOLICÃO MANUAL DE PISO INTERTRAVADO COM EMPILHAMENTO</t>
  </si>
  <si>
    <t>DEMOLIÇÃO MANUAL DE LAJE EM CONCRETO ARMADO COM TRANSPORTE ATE CAÇAMBA E CARGA</t>
  </si>
  <si>
    <t>DEMOLIÇÃO MANUAL DE PILAR EM CONCRETO ARMADO COM TRANSPORTE ATE A CAÇAMBA E CARGA</t>
  </si>
  <si>
    <t>DEMOLIÇÃO MANUAL DE VIGA EM CONCRETO ARMADO COM TRANSPORTE ATÉ CAÇAMBA E CARGA</t>
  </si>
  <si>
    <t>DEMOLIÇÃO MANUAL DE ALAMBRADO - POSTE DE CONCRETO/TELA/VIGA COM TRANSPORTE ATE CAÇAMBA E CARGA</t>
  </si>
  <si>
    <t xml:space="preserve">m     </t>
  </si>
  <si>
    <t>DEMOLIÇÃO MANUAL DE FORRO PACOTE/ESTRUTURA COM TRANSPORTE ATE CAÇAMBA E CARGA</t>
  </si>
  <si>
    <t>DEMOLIÇÃO MANUAL DE PISO CARPETE COM TRANSPORTE ATE CAÇAMBA E CARGA</t>
  </si>
  <si>
    <t>DEMOLIÇÃO MANUAL DE PISO VINÍLICO COM TRANSPORTE ATE CAÇAMBA E CARGA</t>
  </si>
  <si>
    <t>DEMOLIÇÃO MANUAL DE FORRO GESSO COM TRANSPORTE ATÉ CAÇAMBA E CARGA</t>
  </si>
  <si>
    <t>DEMOLIÇÃO MANUAL DE ESTRUTURA EM METALON PARA FORRO DE GESSO COM TRANSPORTE ATÉ CAÇAMBA E CARGA</t>
  </si>
  <si>
    <t>DEMOLIÇÃO MANUAL DE CAIBRO E RIPA COM TRANSPORTE ATÉ CAÇAMBA E CARGA</t>
  </si>
  <si>
    <t>REMOÇÃO MANUAL DE BACIA SANITÁRIA COM TRANSPORTE ATÉ CAÇAMBA E CARGA</t>
  </si>
  <si>
    <t>REMOÇÃO MANUAL DE LAVATÓRIO COM TRANSPORTE ATÉ CAÇAMBA E CARGA</t>
  </si>
  <si>
    <t>DEMOLIÇÃO MANUAL DE BANCADA COM TRANSPORTE ATÉ CAÇAMBA E CARGA</t>
  </si>
  <si>
    <t>REMOÇÃO DE CAIXA DESCARGA EXTERNA COM TRANSPORTE ATÉ CAÇAMBA E CARGA</t>
  </si>
  <si>
    <t>DEMOLIÇÃO MANUAL DE MEIO FIO COM REAPROVEITAMENTO</t>
  </si>
  <si>
    <t>DEMOLIÇÃO MANUAL MEIO FIO SEM REAPROVEITAMENTO COM TRANSPORTE ATÉ CAÇAMBA E CARGA</t>
  </si>
  <si>
    <t xml:space="preserve">DEMOLIÇÃO MANUAL DE PAVIMENTO ASFÁLTICO C/ TRANSPORTE ATÉ CAÇAMBA E CARGA </t>
  </si>
  <si>
    <t>REMOÇÃO MANUAL DE BACIA TURCA COM TRANSPORTE ATÉ CAÇAMBA E CARGA</t>
  </si>
  <si>
    <t>REMOÇÃO MANUAL DE MICTÓRIO COM TRANSPORTE ATÉ CAÇAMBA E CARGA</t>
  </si>
  <si>
    <t>DEMOLIÇÃO MANUAL DE FORRO PVC, INCLUSIVE ESTRUTURA DE SUSTENTAÇÃO COM TRANSPORTE ATÉ CAÇAMBA E CARGA</t>
  </si>
  <si>
    <t>DEMOLIÇÃO MANUAL DE FORRO PVC (SOMENTE O FORRO) C/ TRANSP. ATÉ CB. E CARGA</t>
  </si>
  <si>
    <t>DEMOLIÇÃO MANUAL DE DIVISÓRIA/PAINEL PRÉ-FABRICADO COM REAPROVEITAMENTO</t>
  </si>
  <si>
    <t>DEMOLIÇÃO MANUAL DE DIVISÓRIA EM PEDRA/CONCRETO COM TRANSPORTE ATÉ CAÇAMBA E CARGA</t>
  </si>
  <si>
    <t>DEMOLIÇÃO MANUAL EM MURO/PAREDE PLACA PRÉ-MOLDADA COM TRANSPORTE ATÉ CAÇAMBA E CARGA</t>
  </si>
  <si>
    <t>DEMOLIÇÃO MANUAL DE CALHA/RUFO EM CHAPA COM TRANSPORTE ATÉ CAÇAMBA E CARGA</t>
  </si>
  <si>
    <t>DEMOLIÇÃO MANUAL DE TELA DE ALAMBRADO COM TRANSPORTE ATÉ CAÇAMBA E CARGA</t>
  </si>
  <si>
    <t>REMOÇÃO MANUAL DE TUBULAÇÃO (TUBO E CONEXÃO) COM TRANSPORTE ATÉ CAÇAMBA E CARGA (EXCLUSO RASGOS E ESCAVAÇÕES)</t>
  </si>
  <si>
    <t>REMOÇÃO MANUAL DE FIO/CABO ELÉTRICO COM TRANSPORTE ATÉ CAÇAMBA E CARGA</t>
  </si>
  <si>
    <t>REMOÇÃO MANUAL DE ELETRODUTO (ELETRODUTO E CONEXÃO)  COM TRANSPORTE ATÉ CAÇAMBA E CARGA (EXCLUSO RASGOS E ESCAVAÇÕES)</t>
  </si>
  <si>
    <t xml:space="preserve">REMOÇÃO MANUAL DE LUMINÁRIA COM TRANSPORTE ATÉ CAÇAMBA E CARGA </t>
  </si>
  <si>
    <t xml:space="preserve">REMOÇÃO MANUAL DE INTERRUPTOR/TOMADA ELÉTRICA/DISJUNTOR COM TRANSPORTE ATÉ CAÇAMBA E CARGA </t>
  </si>
  <si>
    <t>LIMPEZA MECÂNICA DE TERRENO</t>
  </si>
  <si>
    <t>FERRAMENTAS (MANUAIS/ELÉTRICAS) E MATERIAL DE LIMPEZA PERMANENTE DA OBRA - ÁREAS EDIFICADAS/COBERTAS/FECHADAS</t>
  </si>
  <si>
    <t>CORTE EM CAPOEIRA FINA A FOICE</t>
  </si>
  <si>
    <t>RASPAGEM E LIMPEZA MANUAL DO TERRENO</t>
  </si>
  <si>
    <t>CAPINA - (OBRAS CIVIS)</t>
  </si>
  <si>
    <t>BARRACÃO DE OBRAS PADRÃO GOINFRA ( BLOCOS,COBERTURAS, PASSARELAS E MÓVEIS), COM ALOJAMENTO E LAVANDERIA , COM PINTURA, EM CONSONÂNCIA COM AS NR's, EM ESPECIAL A NR-18, INCLUSO INSTALAÇÕES ELÉTRICAS E HIDROSSANITÁRIAS - ( COM REAPROVEITAMENTO 1 VEZ ).</t>
  </si>
  <si>
    <t>BARRACÃO DE OBRAS PADRÃO GOINFRA ( BLOCOS,COBERTURAS,PASSARELAS E MÓVEIS), SEM ALOJAMENTO E LAVANDERIA , COM PINTURA, EM CONSONÂNCIA COM AS NR's, EM ESPECIAL A NR-18, INCLUSO INSTALAÇÕES ELÉTRICAS E HIDROSSANITÁRIAS - ( COM REAPROVEITAMENTO 1 VEZ ).</t>
  </si>
  <si>
    <t xml:space="preserve">DEPÓSITO PARA CIMENTO TIPO I  COM PINTURA PADRÃO GOINFRA (2,20 X 2,262M) A=4,98 M2 ( C/ REAPROV. 1 VEZ ) - INCLUSO PALETES </t>
  </si>
  <si>
    <t xml:space="preserve">DEPÓSITO PARA CIMENTO TIPO II  COM PINTURA PADRÃO GOINFRA (3,30 X 3,30 M) A=10,89 M2 ( C/ REAPROV. 1 VEZ ) - INCLUSO PALETES </t>
  </si>
  <si>
    <t>LIGAÇÃO PROVISÓRIA DE ÁGUA ( INCLUSO RETIRADA DO ESGOTO SANITÁRIO) - PD. GOINFRA</t>
  </si>
  <si>
    <t>LIGAÇÃO PROVISÓRIA LUZ E FORÇA - PD. GOINFRA</t>
  </si>
  <si>
    <t>TAPUME EM CHAPA COMPENSADA RESINADA 6MM COM PORTÕES E FERRAGENS - PADRÃO GOINFRA</t>
  </si>
  <si>
    <t>LOCAÇÃO DA OBRA, EXECUÇÃO DE GABARITO SEM REAPROVEITAMENTO, INCLUSO PINTURA (FACE INTERNA DO RIPÃO 15CM) E PIQUETE COM TESTEMUNHA</t>
  </si>
  <si>
    <t>LOCAÇÃO DE OBRAS DE PEQUENO PORTE COM CAVALETE, INCLUSO PINTURA (FACE INTERNA DO SARRAFO 10CM) E PIQUETE COM TESTEMUNHA</t>
  </si>
  <si>
    <t>LOCAÇÃO DE PRAÇA, QUADRA, IMPLANTAÇÃO, UTILIZANDO CAVALETE, INCLUSO PIQUETE COM TESTEMUNHA</t>
  </si>
  <si>
    <t>ABERTURA DE POÇOS (CISTERNA) - ÁGUA POTÁVEL</t>
  </si>
  <si>
    <t>REVESTIMENTO DE POCOS (CISTERNA) COM TUBOS</t>
  </si>
  <si>
    <t>LAJE CIRCULAR PARA POÇOS (CISTERNA) COM ENCABEÇAMENTO</t>
  </si>
  <si>
    <t>CONSTRUÇÃO DE BANDEJA SALVA VIDAS PRIMÁRIA DE MADEIRA - LARGURA 2,50M</t>
  </si>
  <si>
    <t>CONSTRUÇÃO DE BANDEJA SALVA VIDAS SECUNDÁRIA DE MADEIRA - LARGURA 1,40M</t>
  </si>
  <si>
    <t>CONSTRUÇÃO DE BANDEJA SALVA VIDAS TERCIÁRIA DE MADEIRA - LARGURA 2,20M</t>
  </si>
  <si>
    <t>PLACA DE OBRA PLOTADA EM CHAPA METÁLICA 26 , AFIXADA EM CAVALETES DE MADEIRA DE LEI (VIGOTAS 6X12CM) - PADRÃO GOINFRA</t>
  </si>
  <si>
    <t>CONSUMO DE ESGOTO</t>
  </si>
  <si>
    <t>CONSUMO DE ÁGUA</t>
  </si>
  <si>
    <t>CONSUMO DE ENERGIA ELÉTRICA</t>
  </si>
  <si>
    <t xml:space="preserve">KWH   </t>
  </si>
  <si>
    <t>EPI/PGR/PCMSO/EXAMES/TREINAMENTOS/VISITAS - ÁREAS EDIFICADAS/COBERTAS/FECHADAS</t>
  </si>
  <si>
    <t>TRANSPORTES</t>
  </si>
  <si>
    <t>TRANSPORTE DE ENTULHO EM CAMINHÃO  INCLUSO A CARGA MANUAL</t>
  </si>
  <si>
    <t>TRANSPORTE DE ENTULHO CAÇAMBA ESTACIONÁRIA SEM CARGA</t>
  </si>
  <si>
    <t>TRANSPORTE DE ENTULHO EM CAÇAMBA ESTACIONÁRIA  INCLUSO A CARGA MANUAL</t>
  </si>
  <si>
    <t>TRANSPORTE DE ENTULHO EM CAMINHÃO SEM CARGA</t>
  </si>
  <si>
    <t>TRANSPORTE DE MATERIAIS/EQUIPAMENTOS/OUTROS ( INCLUSIVE OS DA MOBILIZAÇÃO E DESMOBILIZAÇÃO ) - CAMINHÃO CARROCERIA MADEIRA 15 T ( INCLUSO NO VALOR O RETORNO )</t>
  </si>
  <si>
    <t xml:space="preserve">tkm   </t>
  </si>
  <si>
    <t>CARGA DOS MATERIAIS/EQUIPAMENTOS/OUTROS ( INCLUSO HORA IMPRODUTIVA DO CAMINHÃO)</t>
  </si>
  <si>
    <t>DESCARGA DOS MATERIAIS/EQUIPAMENTOS/OUTROS ( INCLUSO HORA IMPRODUTIVA DO CAMINHÃO)</t>
  </si>
  <si>
    <t>MOBILIZAÇÃO DO CANTEIRO DE OBRAS - INCLUSIVE CARGA E DESCARGA E A HORA IMPRODUTIVA DO CAMINHÃO - ( EXCLUSO O TRANSPORTE )</t>
  </si>
  <si>
    <t>DESMOBILIZAÇÃO DO CANTEIRO DE OBRAS - INCLUSIVE CARGA E DESCARGA E A HORA IMPRODUTIVA DO CAMINHÃO - ( EXCLUSO O TRANSPORTE )</t>
  </si>
  <si>
    <t>SERVIÇO EM TERRA</t>
  </si>
  <si>
    <t>ESCAVACAO MANUAL DE VALAS &lt; 1 MTS. (OBRAS CIVIS)</t>
  </si>
  <si>
    <t>ESCAVAÇAO MANUAL DE VALAS PROF.1 A 2 M</t>
  </si>
  <si>
    <t>ESCAVAÇAO MANUAL DE VALAS PROF. 2 A 4 M</t>
  </si>
  <si>
    <t>REATERRO COM APILOAMENTO</t>
  </si>
  <si>
    <t>REATERRO COM APILOAMENTO MECÂNICO</t>
  </si>
  <si>
    <t>APILOAMENTO MECÂNICO</t>
  </si>
  <si>
    <t>ESCAVAÇÃO CAMPO ABERTO COM TRANSPORTE MANUAL DE TERRA</t>
  </si>
  <si>
    <t>APILOAMENTO</t>
  </si>
  <si>
    <t>ATERRO INTERNO SEM APILOAMENTO COM TRANSPORTE EM CARRINHO MÃO</t>
  </si>
  <si>
    <t>ESCAVACAO MECANICA</t>
  </si>
  <si>
    <t>CARGA MECANIZADA</t>
  </si>
  <si>
    <t>TRANSPORTE DE MATERIAL ESCAVADO M3.KM</t>
  </si>
  <si>
    <t xml:space="preserve">m3km  </t>
  </si>
  <si>
    <t>ESPALHAMENTO MECANICO</t>
  </si>
  <si>
    <t>COMPACTAÇÃO MECÂNICA COM CONTROLE DA UMIDADE (95% PN)</t>
  </si>
  <si>
    <t>COMPACTAÇÃO MECÂNICA SEM CONTROLE LABORATÓRIO</t>
  </si>
  <si>
    <t>TRANSPORTE COM LÂMINA ATE 100 M - (OBRAS CIVIS)</t>
  </si>
  <si>
    <t>INDENIZAÇÃO DE JAZIDA</t>
  </si>
  <si>
    <t xml:space="preserve">REGULARIZAÇÃO DO TERRENO SEM APILOAMENTO COM TRANSPORTE MANUAL DA TERRA ESCAVADA </t>
  </si>
  <si>
    <t xml:space="preserve">SOLO CIMENTO 1:12 </t>
  </si>
  <si>
    <t>FUNDAÇÕES E SONDAGENS</t>
  </si>
  <si>
    <t>SONDAGENS PARA INTERIOR - (OBRAS CIVIS)</t>
  </si>
  <si>
    <t>TRANSPORTE EQUIPAMENTOS PARA SONDAGEM (INCLUSO VALOR DE RETORNO)</t>
  </si>
  <si>
    <t xml:space="preserve">Km    </t>
  </si>
  <si>
    <t>SONDAGENS PARA GOIÂNIA - (OBRAS CIVIS)</t>
  </si>
  <si>
    <t>EMBASAMENTO COM TIJOLO COMUM</t>
  </si>
  <si>
    <t>EMBASAMENTO COM PEDRA MARROADA</t>
  </si>
  <si>
    <t>TRAÇO DE CONCRETO</t>
  </si>
  <si>
    <t>CORPO DE PROVA</t>
  </si>
  <si>
    <t>ESTACA A TRADO DIAM.25 CM SEM FERRO</t>
  </si>
  <si>
    <t xml:space="preserve">M     </t>
  </si>
  <si>
    <t>ESTACA A TRADO DIAM.30 CM SEM FERRO</t>
  </si>
  <si>
    <t>PEDRA MARROADA COM LANCAMENTO</t>
  </si>
  <si>
    <t>ESCAVACAO MANUAL DE VALAS (SAPATAS/BLOCOS)</t>
  </si>
  <si>
    <t>APILOAMENTO (BLOCOS/SAPATAS)</t>
  </si>
  <si>
    <t>REATERRO COM APILOAMENTO MANUAL (BLOCOS/SAPATAS)</t>
  </si>
  <si>
    <t>REATERRO COM APILOAMENTO MECÂNICO (BLOCOS/SAPATAS)</t>
  </si>
  <si>
    <t>APILOAMENTO MECÂNICO (BLOCOS/SAPATAS)</t>
  </si>
  <si>
    <t>ESCAVACAO TUBULOES A CEU ABERTO - (OBRAS CIVIS)</t>
  </si>
  <si>
    <t>ALARGAMENTO DE BASE PARA TUBULOES - (OBRAS CIVIS)</t>
  </si>
  <si>
    <t>FORMA TABUA PINHO PARA FUNDACOES U=3V - (OBRAS CIVIS)</t>
  </si>
  <si>
    <t>PREPARO COM BETONEIRA E TRANSPORTE MANUAL  DE CONCRETO FCK=15 MPA - (O.C.)</t>
  </si>
  <si>
    <t>PREPARO COM BETONEIRA E TRANSPORTE MANUAL DE CONCRETO FCK=20 MPA - (O.C.)</t>
  </si>
  <si>
    <t>CONCRETO USINADO BOMBEÁVEL FCK=15 MPA  - (O.C.)</t>
  </si>
  <si>
    <t>CONCRETO USINADO CONVENCIONAL FCK=15 MPA COM TRANSPORTE MANUAL - (O.C.)</t>
  </si>
  <si>
    <t xml:space="preserve">PREPARO COM BETONEIRA E TRANSPORTE MANUAL DE CONCRETO PARA LASTRO  - </t>
  </si>
  <si>
    <t xml:space="preserve">PREPARO SEM BETONEIRA E TRANSPORTE MANUAL DE CONCRETO PARA LASTRO  - </t>
  </si>
  <si>
    <t>LANÇAMENTO/APLICAÇÃO/ADENSAMENTO DE CONCRETO EM FUNDAÇÃO- (O.C.)</t>
  </si>
  <si>
    <t>LASTRO DE BRITA (OBRAS CIVIS)</t>
  </si>
  <si>
    <t xml:space="preserve">PREPARO COM BETONEIRA E TRANSPORTE MANUAL DE CONCRETO FCK=30 MPA </t>
  </si>
  <si>
    <t>PREPARO COM BETONEIRA E TRANSPORTE MANUAL DE CONCRETO FCK=25 MPA</t>
  </si>
  <si>
    <t>CONCRETO USINADO CONVENCIONAL FCK=20  MPA COM TRANSPORTE MANUAL (O.C .)</t>
  </si>
  <si>
    <t>CONCRETO USINADO CONVENCIONAL FCK=25 MPA COM TRANSPORTE MANUAL (O.C.)</t>
  </si>
  <si>
    <t>CONCRETO USINADO CONVENCIONAL FCK=30 MPA COM TRANSPORTE MANUAL (O.C.)</t>
  </si>
  <si>
    <t>CONCRETO USINADO BOMBEÁVEL FCK=20 MPA (O.C.)</t>
  </si>
  <si>
    <t>CONCRETO USINADO BOMBEÁVEL FCK=25 MPA (O.C.)</t>
  </si>
  <si>
    <t>CONCRETO USINADO BOMBEÁVEL FCK=30 MPA (O.C.)</t>
  </si>
  <si>
    <t>TAXA DE BOMBEAMENTO CONCRETO MÍNIMO - 10 M3 (O.C.)</t>
  </si>
  <si>
    <t>LANÇAMENTO/APLICAÇÃO/ADENSAMENTO MANUAL DE CONCRETO - (O.C.)</t>
  </si>
  <si>
    <t>LANÇAMENTO/APLICAÇÃO/ADENSAMENTO DE CONCRETO USINADO BOMBEADO EM FUNDAÇÃO</t>
  </si>
  <si>
    <t>ACO CA-25 - 6,3 MM (1/4") - (OBRAS CIVIS)</t>
  </si>
  <si>
    <t xml:space="preserve">Kg    </t>
  </si>
  <si>
    <t>ACO CA-50A - 6,3 MM (1/4") - (OBRAS CIVIS)</t>
  </si>
  <si>
    <t>ACO CA 50-A - 8,0 MM (5/16") - (OBRAS CIVIS)</t>
  </si>
  <si>
    <t>ACO CA-50A - 10,0 MM (3/8") - (OBRAS CIVIS)</t>
  </si>
  <si>
    <t>ACO CA 50-A - 12,5 MM (1/2") - (OBRAS CIVIS)</t>
  </si>
  <si>
    <t>ACO CA - 50 - 16,0 MM (5/8") - (OBRAS CIVIS)</t>
  </si>
  <si>
    <t>ACO CA-50 A - 20,0 MM (3/4") - (OBRAS CIVIS)</t>
  </si>
  <si>
    <t>ACO CA 50-A - 25,0 MM (1") - (OBRAS CIVIS)</t>
  </si>
  <si>
    <t>ACO CA 60-B 4,2 MM - (OBRAS CIVIS)</t>
  </si>
  <si>
    <t>ACO CA-60 - 5,0 MM - (OBRAS CIVIS)</t>
  </si>
  <si>
    <t>ESTRUTURA</t>
  </si>
  <si>
    <t>VERGA/CONTRAVERGA EM CONCRETO ARMADO FCK = 20 MPA</t>
  </si>
  <si>
    <t>ESCORAMENTO METALICO - VIGAS/LAJES (ALUGUEL/MES)</t>
  </si>
  <si>
    <t>ANDAIME METALICO TORRE (ALUGUEL/MES)</t>
  </si>
  <si>
    <t>ANDAIME METALICO FACHADEIRO (ALUGUEL/MES)</t>
  </si>
  <si>
    <t>EPS 20 MM PARA JUNTA DILATAÇÃO</t>
  </si>
  <si>
    <t>FORMA CHAPA DE COMPENSADO RESINADO 6 MM U=3V (PARA PLACAS/TAMPAS E DIVISÓRIAS PRÉ-MOLDADAS EM CONCRETO)</t>
  </si>
  <si>
    <t>FORMA DE TABUA CINTA BALDRAME U=8 VEZES</t>
  </si>
  <si>
    <t>FORMA DE TABUA CINTA/PILAR SOBRE/ENTRE ALVENARIA U=8 VEZES</t>
  </si>
  <si>
    <t>FORMA CURVA COM TABUA E CHAPA DE COMPENSADO RESINADO U=2 V - (O.C.)</t>
  </si>
  <si>
    <t>FORMA TABUA COM REAPROVEITAMENTO 2 VEZES - (OBRAS CIVIS)</t>
  </si>
  <si>
    <t>FORMA CHAPA DE COMPENSADO RESINADO 12 MM U=3 V (OBRAS CIVIS)</t>
  </si>
  <si>
    <t>FORMA CHAPA DE COMPENSADO PLASTIFICADO 17MM U=4 V (OBRAS CIVIS)</t>
  </si>
  <si>
    <t>FORMA CHAPA DE COMPENSADO PLASTIFICADO 17MM U=7 V - (OBRAS CIVIS)</t>
  </si>
  <si>
    <t>FORMA CHAPA DE COMPENSADO RESINADO 12MM-VIGA/PILAR U=1V - (OBRAS CIVIS)</t>
  </si>
  <si>
    <t>FORMA CHAPA DE COMPENSADO RESINADO 12MM-VIGA/PILAR U=2V - (OBRAS CIVIS)</t>
  </si>
  <si>
    <t>FORMA CHAPA DE COMPENSADO RESINADO 12MM-VIGA/PILAR U=3V - (OBRAS CIVIS)</t>
  </si>
  <si>
    <t>FORMA CHAPA DE COMPENSADO RESINADO 12MM-VIGA/PILAR U=4V - (OBRAS CIVIS)</t>
  </si>
  <si>
    <t>FORMA CHAPA DE COMPENSADO PLASTIFICADO 12MM-U=5V - (OBRAS CIVIS)</t>
  </si>
  <si>
    <t>FORMA CHAPA DE COMPENSADO PLASTIFICADO 12MM-VIGA/PILAR U=3V - (OBRAS CIVIS)</t>
  </si>
  <si>
    <t>FORMA CHAPA DE COMPENSADO PLASTIFICADO 12MM-VIGA/PILAR U=2V - (OBRAS CIVIS)</t>
  </si>
  <si>
    <t>FORMA CHAPA DE COMPENSADO PLASTIFICADO 12 MM-VIGA/PILAR U=1V- (OBRAS CIVIS)</t>
  </si>
  <si>
    <t>ACO CA-50-A - 6,3 MM (1/4") - (OBRAS CIVIS)</t>
  </si>
  <si>
    <t>ACO CA-50 A - 8,0 MM (5/16") - (OBRAS CIVIS)</t>
  </si>
  <si>
    <t>ACO CA-50A - 12,5 MM (1/2") - (OBRAS CIVIS)</t>
  </si>
  <si>
    <t>ACO CA-50 - 16,0 MM (5/8") - (OBRAS CIVIS)</t>
  </si>
  <si>
    <t>ACO CA 50-A - 20,0 MM (3/4") - (OBRAS CIVIS)</t>
  </si>
  <si>
    <t>ACO CA-60B - 4,2 MM - (OBRAS CIVIS)</t>
  </si>
  <si>
    <t>ACO CA - 60 - 5,0 MM - (OBRAS CIVIS)</t>
  </si>
  <si>
    <t>LASTRO DE BRITA - (OBRAS CIVIS)</t>
  </si>
  <si>
    <t>PREPARO COM BETONEIRA E TRANSPORTE MANUAL DE CONCRETO FCK-15 - (O.C.)</t>
  </si>
  <si>
    <t>PREPARO COM BETONEIRA E TRANSPORTE MANUAL DE CONCRETO FCK-20 - (O.C.)</t>
  </si>
  <si>
    <t>CONCRETO USINADO BOMBEÁVEL FCK=15 MPA - (O.C.)</t>
  </si>
  <si>
    <t>CONCRETO USINADO CONVENCIONAL FCK=20 MPA COM TRANSPORTE MANUAL- (O.C.)</t>
  </si>
  <si>
    <t>PREPARO COM BETONEIRA E TRANSPORTE MANUAL DE CONCRETO PARA LASTRO - (O.C.)</t>
  </si>
  <si>
    <t>CONCRETO USINADO CONVENCIONAL  FCK=15 MPA COM TRANSPORTE MANUAL - (O.C.)</t>
  </si>
  <si>
    <t xml:space="preserve">PREPARO COM BETONEIRA E TRANSPORTE MANUAL DE CONCRETO FCK=25 MPA </t>
  </si>
  <si>
    <t>CONCRETO USINADO CONVENCIONAL FCK=25 MPA COM TRANSPORTE MANUAL - (O.C.)</t>
  </si>
  <si>
    <t>CONCRETO USINADO CONVENCIONAL FCK=30 MPA COM TRANSPORTE MANUAL - (O.C.)</t>
  </si>
  <si>
    <t>LANÇAMENTO/APLICAÇÃO/ADENSAMENTO DE CONCRETO USINADO BOMBEADO EM ESTRUTURA - (O.C.)</t>
  </si>
  <si>
    <t>LANÇAMENTO/APLICAÇÃO/ADENSAMENTO MANUAL DE CONCRETO - (OBRAS CIVIS)</t>
  </si>
  <si>
    <t>LANÇAMENTO/APLICAÇÃO/ADENSAMENTO DE CONCRETO EM ESTRUTURA - (O.C.)</t>
  </si>
  <si>
    <t>TAXA DE BOMBEAMENTO CONCRETO-MÍNIMO  10 M3 - (O.C.)</t>
  </si>
  <si>
    <t>FORRO EM LAJE PRE-MOLDADA INCLUSO CAPEAMENTO/ARMADURA DE DISTRIBUIÇÃO/ESCORAMENTO E FORMA/DESFORMA</t>
  </si>
  <si>
    <t>PISO EM LAJE PRÉ-MOLDADA INCLUSO CAPEAMENTO/ARMADURA DE DISTRIBUIÇÃO/ESCORAMENTO E FORMA/DESFORMA</t>
  </si>
  <si>
    <t>ESCORAMENTO, MONTAGEM E DESFORMA DA LAJE "TRELIÇADA" - U=1 VEZ</t>
  </si>
  <si>
    <t>ESCORAMENTO, MONTAGEM E DESFORMA DA LAJE "TRELIÇADA" - U=2 VEZES</t>
  </si>
  <si>
    <t>ESCORAMENTO, MONTAGEM E DESFORMA DA LAJE "TRELIÇADA" - U=3 VEZES</t>
  </si>
  <si>
    <t>RECUPERAÇÃO E TRATAMENTO EM ESTRUTURAS DE CONCRETO:</t>
  </si>
  <si>
    <t xml:space="preserve">S/U   </t>
  </si>
  <si>
    <t>DEFINIÇÃO E DEMARCAÇÃO DA ÁREA DE REPARO DE ESTRUTURAS UTILIZANDO DISCO DE CORTE</t>
  </si>
  <si>
    <t>PREPARAÇÃO DO SUBSTRATO PARA REPARO EM ESTRUTURA DE CONCRETO POR APICOAMENTO MANUAL DA SUPERFÍCIE</t>
  </si>
  <si>
    <t>ESCARIFICAÇÃO MANUAL, CORTE DE CONCRETO ATÉ 3CM DE PROFUNDIDADE</t>
  </si>
  <si>
    <t>LIMPEZA DE ARMADURA OU CHAPA METÁLICA COM FURADEIRA E BROCA</t>
  </si>
  <si>
    <t>ESCOVAMENTO MANUAL DE ARMADURA OU CHAPA METÁLICA</t>
  </si>
  <si>
    <t>ESCOVAMENTO MANUAL DE SUBSTRATO</t>
  </si>
  <si>
    <t>LIMPEZA DO SUBSTRATO COM APLICAÇÃO DE JATO DE ÁGUA FRIA</t>
  </si>
  <si>
    <t>PROTEÇÃO DE ARMADURA CONTRA CORROSÃO A BASE DE ZINCO - 2 DEMÃOS</t>
  </si>
  <si>
    <t>PINTURA A BASE DE SILANO SILOXANO PARA PROTEÇÃO DE SUPERFÍCIES INTERNAS/EXTERNAS DE ESTRUTURA DE CONCRETO - 2 DEMÃOS</t>
  </si>
  <si>
    <t>REPARO PROFUNDO EM ESTRUTURA COM ARGAMASSA SECA TIPO "DRY PACK" ISENTA DE RETRAÇÃO - ESPESSURA DE 3 A 10CM E FCK &gt; 25 MPA</t>
  </si>
  <si>
    <t>CURA QUÍMICA PARA SUBSTRATO CIMENTÍCIO</t>
  </si>
  <si>
    <t>APLICAÇÃO, COM POSTERIOR REMOÇÃO COM JATO DE ÁGUA, DE ÁCIDO MURIÁTICO (1:20) E APLICAÇÃO, COM POSTERIOR REMOÇÃO COM JATO DE ÁGUA, DE HIDRÓXIDO DE AMÔNIO (1:10)</t>
  </si>
  <si>
    <t>TRATAMENTO DE CONCRETO APARENTE 2 DEMÃOS (COM PINTURA DE CIMENTO CP32/CIMENTO BRANCO/POLÍMEROS ACRÍLICOS/ÁGUA - TRAÇO: 1 POLÍM.:6,6667 CP32: 3,3333 CIBRANCO - EM VOLUME) - INCLUSA A LAVAGEM COM JATO D'ÁGUA</t>
  </si>
  <si>
    <t>INST. ELET./TELEFONICA/CABEAMENTO ESTRUTURADO</t>
  </si>
  <si>
    <t>ALÇA PRÉ-FORMADA DE DISTRIBUIÇÃO CA/CAA 4 AWG</t>
  </si>
  <si>
    <t xml:space="preserve">ANEL GUIA Nº 02 </t>
  </si>
  <si>
    <t>ANILHA PLÁSTICA 25 CM</t>
  </si>
  <si>
    <t>ARAME DE AÇO GALVANIZADO Nº 12 BWG</t>
  </si>
  <si>
    <t>ARAME GALVANIZADO 12 BWG</t>
  </si>
  <si>
    <t>ARMACAO SECUNDARIA LEVE 1 ELEMENTO</t>
  </si>
  <si>
    <t>ARMACAO SECUNDARIA LEVE 2 ELEMENTOS</t>
  </si>
  <si>
    <t>ARMACAO SECUNDARIA LEVE 3 ELEMENTOS</t>
  </si>
  <si>
    <t>ARMACAO SECUNDARIA LEVE 4 ELEMENTOS</t>
  </si>
  <si>
    <t>ARMACAO SECUNDARIA PESADA 1 ELEMENTO</t>
  </si>
  <si>
    <t>ARMACAO SECUNDARIA PESADA 2 ELEMENTOS</t>
  </si>
  <si>
    <t>ARMACAO SECUNDARIA PESADA 3 ELEMENTOS</t>
  </si>
  <si>
    <t>ARMACAO SECUNDARIA PESADA 4 ELEMENTOS</t>
  </si>
  <si>
    <t>ARRUELA QUAD.ACO GALVANIZADO 3X38X38MM FURO 18MM</t>
  </si>
  <si>
    <t>ARRUELA LISA D=1/4"</t>
  </si>
  <si>
    <t>ARRUELA LISA D=5/16"</t>
  </si>
  <si>
    <t>ATERRAMENTO - SOLDA EXOTÉRMICA - CARTUCHO 32 G</t>
  </si>
  <si>
    <t>ATERRAMENTO - SOLDA EXOTÉRMICA - CARTUCHO 45 G</t>
  </si>
  <si>
    <t>ATERRAMENTO - SOLDA EXOTÉRMICA - CARTUCHO 90 G</t>
  </si>
  <si>
    <t>ATERRAMENTO - SOLDA EXOTÉRMICA - CARTUCHO 115 G</t>
  </si>
  <si>
    <t>ATERRAMENTO - SOLDA EXOTÉRMICA - CARTUCHO 150 G</t>
  </si>
  <si>
    <t>BARRA DE COBRE 1" X 1/8" (0,8052 KG/M)</t>
  </si>
  <si>
    <t>BARRA DE COBRE 1" X 3/16" (1,0432 KG/M)</t>
  </si>
  <si>
    <t>BARRA DE COBRE 1.1/2" X 1/8" (1,0483 KG/M)</t>
  </si>
  <si>
    <t>BARRA DE COBRE 1.1/2" X 3/16" (1,5648 KG/M)</t>
  </si>
  <si>
    <t>BARRA DE COBRE 1.1/4" X 3/16" (1,3040 KG/M)</t>
  </si>
  <si>
    <t>BARRA DE COBRE 1/2" X 3/16" (0,5216 KG/M)</t>
  </si>
  <si>
    <t>BARRA DE COBRE 2" X 1/8" (1,3905 KG/M)</t>
  </si>
  <si>
    <t>BARRA DE COBRE 2" X 3/16"  (2,0865 KG/M)</t>
  </si>
  <si>
    <t>BARRA DE COBRE 3/4" X 3/16" (0,7823 KG/M)</t>
  </si>
  <si>
    <t>BARRA DE COBRE 3/4"X1/8" (0,5214 KG/M)</t>
  </si>
  <si>
    <t>BARRA DE COBRE  2" X 1/4" ( 2,870 KG/M)</t>
  </si>
  <si>
    <t>BASE METÁLICA PARA MASTRO 1.1/2"</t>
  </si>
  <si>
    <t>BLOCO BER-10 (BLOCO DE ENGATE RAPIDO)</t>
  </si>
  <si>
    <t>BLOCO TELEFONICO BLI-10 COM CANALETA</t>
  </si>
  <si>
    <t>BORNE TERMINAL SAK 2,5 MM2</t>
  </si>
  <si>
    <t>BORNE TERMINAL SAK 4 MM2</t>
  </si>
  <si>
    <t>BORNE TERMINAL SAK 6 MM2</t>
  </si>
  <si>
    <t>BORNE TERMINAL SAK 10 MM2</t>
  </si>
  <si>
    <t>BORNE TERMINAL SAK 16 MM2</t>
  </si>
  <si>
    <t>BORNE TERMINAL SAK 25 MM2</t>
  </si>
  <si>
    <t>BORNE TERMINAL SAK 35 MM2</t>
  </si>
  <si>
    <t>BORNE TERMINAL SAK 50 MM2</t>
  </si>
  <si>
    <t>BORNE TERMINAL SAK 70 MM2</t>
  </si>
  <si>
    <t>BORNE TERMINAL SAK 95 MM2</t>
  </si>
  <si>
    <t>BORNE TERMINAL SAK 120 MM2</t>
  </si>
  <si>
    <t>BORNE TERMINAL SAK 150 MM2</t>
  </si>
  <si>
    <t>BOTOEIRA "LIGA-DESLIGA" DE EMBUTIR 30A</t>
  </si>
  <si>
    <t>BOTOEIRA "LIGA-DESLIGA" PARA INSTALAÇÃO EM PORTA  DE QUADRO</t>
  </si>
  <si>
    <t>BOX CURVO DIAMETRO 1/2"</t>
  </si>
  <si>
    <t>BOX CURVO DIAMETRO 3/4"</t>
  </si>
  <si>
    <t>BOX CURVO DIAMETRO 1"</t>
  </si>
  <si>
    <t>BOX RETO DIAMETRO 1/2"</t>
  </si>
  <si>
    <t>BOX RETO DIAMETRO 3/4"</t>
  </si>
  <si>
    <t>BOX RETO DIAMETRO 1"</t>
  </si>
  <si>
    <t>BRACADEIRA METALICA TIPO "U" DIAM.1/2"</t>
  </si>
  <si>
    <t>BRACADEIRA METALICA TIPO "U" DIAM. 3/4"</t>
  </si>
  <si>
    <t>BRACADEIRA METALICA TIPO "U" DIAM. 1"</t>
  </si>
  <si>
    <t>BRACADEIRA METALICA TIPO "U" DIAM. 1.1/4"</t>
  </si>
  <si>
    <t>BRACADEIRA METALICA TIPO "U" DIAM. 1.1/2"</t>
  </si>
  <si>
    <t>BRACADEIRA METALICA TIPO "U" DIAM. 2"</t>
  </si>
  <si>
    <t>BRACADEIRA METALICA TIPO "U" DIAM. 2.1/2"</t>
  </si>
  <si>
    <t>BRACADEIRA METALICA TIPO "U" DIAM. 3"</t>
  </si>
  <si>
    <t>BRACADEIRA METALICA TIPO "U" DIAM. 4"</t>
  </si>
  <si>
    <t>BRACADEIRA METALICA TIPO "D" DIAM. 1/2"</t>
  </si>
  <si>
    <t>BRACADEIRA METALICA TIPO "D" DIAM. 3/4"</t>
  </si>
  <si>
    <t>BRACADEIRA METALICA TIPO "D" DIAM. 1"</t>
  </si>
  <si>
    <t>BRACADEIRA METALICA TIPO "D" DIAM. 1.1/4"</t>
  </si>
  <si>
    <t>BRACADEIRA METALICA TIPO "D" DIAM. 1.1/2"</t>
  </si>
  <si>
    <t>BRACADEIRA METALICA TIPO "D" DIAM. 2"</t>
  </si>
  <si>
    <t>BRACADEIRA METALICA TIPO "D" DIAM. 2.1/2"</t>
  </si>
  <si>
    <t>BRACADEIRA METALICA TIPO "D" DIAM. 3"</t>
  </si>
  <si>
    <t>BRACADEIRA METALICA TIPO "D" DIAM. 4"</t>
  </si>
  <si>
    <t>BRAÇADEIRA PARA 3 ESTAIS 1.1/2"</t>
  </si>
  <si>
    <t>SUPORTE METÁLICO PARA TUBO 2" COM CHUMBADOR</t>
  </si>
  <si>
    <t>BRAÇO C AÇO GALVANIZADO , CONFORME NTD-17</t>
  </si>
  <si>
    <t>BUCHA DE NYLON S-5</t>
  </si>
  <si>
    <t>BUCHA DE NYLON S-6</t>
  </si>
  <si>
    <t>BUCHA DE NYLON S-8</t>
  </si>
  <si>
    <t>BUCHA DE NYLON S-10</t>
  </si>
  <si>
    <t>BUCHA DE NYLON S-12</t>
  </si>
  <si>
    <t>BUCHA E ARRUELA METALICA DIAM. 1/2"</t>
  </si>
  <si>
    <t xml:space="preserve">PR    </t>
  </si>
  <si>
    <t>BUCHA E ARRUELA METALICA DIAM. 3/4"</t>
  </si>
  <si>
    <t>BUCHA E ARRUELA METALICA DIAM. 1"</t>
  </si>
  <si>
    <t>BUCHA E ARRUELA METALICA DIAM. 1.1/4"</t>
  </si>
  <si>
    <t>BUCHA E ARRUELA METALICA DIAM. 1.1/2"</t>
  </si>
  <si>
    <t>BUCHA E ARRUELA METALICA DIAM. 2"</t>
  </si>
  <si>
    <t>BUCHA E ARRUELA METALICA DIAM. 2.1/2"</t>
  </si>
  <si>
    <t>BUCHA E ARRUELA METALICA DIAM. 3"</t>
  </si>
  <si>
    <t>BUCHA E ARRUELA METALICA DIAM. 4"</t>
  </si>
  <si>
    <t>BUCHA S-6 PARA TIJOLO FURADO</t>
  </si>
  <si>
    <t>BUCHA S-8 PARA TIJOLO FURADO</t>
  </si>
  <si>
    <t>BUCHA S-10 PARA TIJOLO FURADO</t>
  </si>
  <si>
    <t>CABECOTE DE LIGA DE ALUMINIO DIAM. 3/4"</t>
  </si>
  <si>
    <t>CABECOTE DE LIGA DE ALUMINIO DIAM. 1"</t>
  </si>
  <si>
    <t>CABECOTE DE LIGA DE ALUMINIO DIAM. 1.1/4"</t>
  </si>
  <si>
    <t>CABECOTE DE LIGA DE ALUMINIO DIAM. 1.1/2"</t>
  </si>
  <si>
    <t>CABECOTE DE LIGA DE ALUMINIO DIAM. 2"</t>
  </si>
  <si>
    <t>CABECOTE DE LIGA DE ALUMINIO DIAM. 2.1/2"</t>
  </si>
  <si>
    <t>CABECOTE DE LIGA DE ALUMINIO DIAM. 3"</t>
  </si>
  <si>
    <t>CABECOTE DE LIGA DE ALUMINIO DIAM. 4"</t>
  </si>
  <si>
    <t>CABO EPR/XLPE (90°C) 1KV - 10MM2</t>
  </si>
  <si>
    <t>CABO FLEXÍVEL EPR/XLPE (90°C), 0,6/1 KV, 16 MM2</t>
  </si>
  <si>
    <t>CABO FLEXÍVEL EPR/XLPE (90°C), 0,6/1 KV, 25MM2</t>
  </si>
  <si>
    <t>CABO EPR/XLPE (90°C) 1 KV - 35 MM2</t>
  </si>
  <si>
    <t>CABO FLEXÍVEL EPR/XLPE (90°C), 0,6/1 KV, 50 MM2</t>
  </si>
  <si>
    <t>CABO EPR/XLPE (90°C) 1 KV - 70 MM2</t>
  </si>
  <si>
    <t>CABO FLEXÍVEL EPR/XLPE (90°C), 0,6/1 KV, 95 MM2</t>
  </si>
  <si>
    <t>CABO FLEXÍVEL EPR/XLPE (90°C), 0,6/1 KV, 120 MM2</t>
  </si>
  <si>
    <t>CABO FLEXÍVEL EPR/XLPE (90°C), 0,6/1 KV, 150 MM2</t>
  </si>
  <si>
    <t>CABO EPR/XLPE (90°C) 1 KV - 185 MM2</t>
  </si>
  <si>
    <t>CABO DE COBRE XLPE (90°C) 15 KV - 50 MM2</t>
  </si>
  <si>
    <t>CABO DE AÇO ALMA DE FIBRA 1/4"</t>
  </si>
  <si>
    <t>CABO DE ALUMÍNIO CA 2 AWG</t>
  </si>
  <si>
    <t>CABO AGRUPADO PVC (70ºC) 1KV 4 X 2,5 MM2</t>
  </si>
  <si>
    <t>CABO AGRUPADO PVC (70ºC) 1KV 4 X 4 MM2</t>
  </si>
  <si>
    <t>CABO AGRUPADO PVC (70ºC) 1KV 4 X 6 MM2</t>
  </si>
  <si>
    <t>CABO AGRUPADO PVC (70ºC) 1KV 4 X 10 MM2</t>
  </si>
  <si>
    <t>CABO AGRUPADO PVC (70ºC) 1KV 4 X 16 MM2</t>
  </si>
  <si>
    <t>CABO AGRUPADO PVC (70ºC) 1KV 4 X 25 MM2</t>
  </si>
  <si>
    <t>CABO DE COBRE NU 10 MM2 (11,11M /KG)</t>
  </si>
  <si>
    <t>CABO DE COBRE NU 16 MM2 (6,94 M/KG)</t>
  </si>
  <si>
    <t>CABO DE COBRE NU 25 MM2 (4,73 M /KG)</t>
  </si>
  <si>
    <t>CABO DE COBRE NU 35 MM2</t>
  </si>
  <si>
    <t>CABO DE COBRE NU 50 MM2</t>
  </si>
  <si>
    <t>CABO DE COBRE NU 70 MM2</t>
  </si>
  <si>
    <t>CABO DE COBRE NU 95 MM2</t>
  </si>
  <si>
    <t>CABO FLEXIVEL PARALELO 2 X 1,5 MM2</t>
  </si>
  <si>
    <t>CABO FLEXIVEL PARALELO 2 X 2,5 MM2</t>
  </si>
  <si>
    <t>CABO FLEXIVEL PARALELO 2 X 1,0 MM2</t>
  </si>
  <si>
    <t>CABO ISOLADO PP 3 X 4,0 MM2</t>
  </si>
  <si>
    <t>CABO ISOLADO PP 3 X 2,5 MM2</t>
  </si>
  <si>
    <t>CABO FLEXÍVEL, PVC (70° C), 450/750 V, 2,5 MM2</t>
  </si>
  <si>
    <t>CABO FLEXÍVEL, PVC (70° C), 450/750 V, 4 MM2</t>
  </si>
  <si>
    <t>CABO FLEXÍVEL, PVC (70° C), 450/750 V, 6 MM2</t>
  </si>
  <si>
    <t>CABO FLEXÍVEL, PVC (70° C), 450/750 V, 10 MM2</t>
  </si>
  <si>
    <t>CABO FLEXÍVEL, PVC (70° C), 450/750 V, 16 MM2</t>
  </si>
  <si>
    <t>CABO FLEXÍVEL, PVC (70° C), 450/750 V, 25 MM2</t>
  </si>
  <si>
    <t>CABO FLEXÍVEL, PVC (70° C), 450/750 V, 35 MM2</t>
  </si>
  <si>
    <t>CABO FLEXÍVEL PVC (70° C), 0,6/1 KV, 1,5 MM2</t>
  </si>
  <si>
    <t>CABO FLEXÍVEL PVC (70° C), 0,6/1 KV, 2,5 MM2</t>
  </si>
  <si>
    <t>CABO FLEXÍVEL PVC (70° C), 0,6/1 KV, 4 MM2</t>
  </si>
  <si>
    <t>CABO FLEXÍVEL PVC (70° C), 0,6/1 KV, 6 MM2</t>
  </si>
  <si>
    <t>CABO FLEXÍVEL PVC (70° C), 0,6/1 KV, 10 MM2</t>
  </si>
  <si>
    <t>CABO FLEXÍVEL PVC (70° C), 0,6/1 KV, 16 MM2</t>
  </si>
  <si>
    <t>CABO FLEXÍVEL PVC (70° C), 0,6/1 KV, 25 MM2</t>
  </si>
  <si>
    <t>CABO FLEXÍVEL PVC (70° C), 0,6/1 KV, 35 MM2</t>
  </si>
  <si>
    <t>CABO FLEXÍVEL PVC (70° C), 0,6/1 KV, 50 MM2</t>
  </si>
  <si>
    <t>CABO FLEXÍVEL PVC (70° C), 0,6/1 KV, 70 MM2</t>
  </si>
  <si>
    <t>CABO FLEXÍVEL PVC (70° C), 0,6/1 KV, 95 MM2</t>
  </si>
  <si>
    <t>CABO FLEXÍVEL PVC (70° C), 0,6/1 KV, 120 MM2</t>
  </si>
  <si>
    <t>CABO FLEXÍVEL PVC (70° C), 0,6/1 KV, 150 MM2</t>
  </si>
  <si>
    <t>CABO FLEXÍVEL PVC (70° C), 0,6/1 KV, 185 MM2</t>
  </si>
  <si>
    <t>CABO FLEXÍVEL PVC (70° C), 0,6/1 KV, 300 MM2</t>
  </si>
  <si>
    <t>CABO TELEFONICO CCI-50 1 PAR</t>
  </si>
  <si>
    <t>CABO TELEFONICO CCI-50 2 PARES</t>
  </si>
  <si>
    <t>CABO TELEFONICO CCI-50 3 PARES</t>
  </si>
  <si>
    <t>CABO TELEFONICO CCE-50 2 PARES</t>
  </si>
  <si>
    <t>CABO TELEFONICO CCE-50 3 PARES</t>
  </si>
  <si>
    <t>CABO TELEFONICO CI-50,10 PARES (USO INTERNO)</t>
  </si>
  <si>
    <t>CABO TELEFONICO CI-50,20 PARES (USO INTERNO)</t>
  </si>
  <si>
    <t>CABO TELEFONICO CI-50,30 PARES (USO INTERNO)</t>
  </si>
  <si>
    <t>CABO TELEFONICO CI-50,50 PARES (USO INTERNO)</t>
  </si>
  <si>
    <t>CABO TELEFONICO CTP-APL-50 DE 10 PARES (USO EXTERNO)</t>
  </si>
  <si>
    <t>CABO TELEFON. CTP-APL-50 DE 20 PARES (USO EXTERNO)</t>
  </si>
  <si>
    <t>CABO TELEFONICO CTP-APL-50 DE 30 PARES (USO EXTERNO)</t>
  </si>
  <si>
    <t>CABO UTP-4P, CAT. 6 , 24 AWG</t>
  </si>
  <si>
    <t>CAIXA "ARSTOP" C/1 TOMADA HEXAGONAL 2P+T E 1 DISJ.MONOP.20A</t>
  </si>
  <si>
    <t>CAIXA 75X75X31 MM (LINHA X OU EQUIVALENTE)</t>
  </si>
  <si>
    <t xml:space="preserve">CAIXA DE PASSAGEM - ESCAVAÇÃO MANUAL / REATERRO/ APILOAMENTO DO FUNDO </t>
  </si>
  <si>
    <t>CAIXA DE PASSAGEM -  TAMPA EM CONCRETO ARMADO 25 MPA E=5CM</t>
  </si>
  <si>
    <t xml:space="preserve">CAIXA DE PASSAGEM -  ALVENARIA DE 1/2 VEZ COM REVESTIMENTO INTERNO EM REBOCO PAULISTA A-14 </t>
  </si>
  <si>
    <t xml:space="preserve">  m2    </t>
  </si>
  <si>
    <t>CAIXA DE PASSAGEM - ALVENARIA DE 1 VEZ COM REVESTIMENTO INTERNO EM REBOCO PAULISTA A-14</t>
  </si>
  <si>
    <t>CAIXA DE PASSAGEM - LASTRO DE BRITA PARA O FUNDO</t>
  </si>
  <si>
    <t>CAIXA DE PASSAGEM - LASTRO DE CONCRETO 20 MPA E=5CM PARA O FUNDO</t>
  </si>
  <si>
    <t>CAIXA DE PASSAGEM METÁLICA DE EMBUTIR 15X15X8 CM</t>
  </si>
  <si>
    <t>CAIXA DE PASSAGEM METÁLICA DE EMBUTIR 20X20X10 CM</t>
  </si>
  <si>
    <t>CAIXA DE PASSAGEM METÁLICA DE EMBUTIR 30X30X12 CM</t>
  </si>
  <si>
    <t>CAIXA DE PASSAGEM METÁLICA DE EMBUTIR  40X40X15 CM</t>
  </si>
  <si>
    <t>CAIXA DE PASSAGEM METÁLICA DE EMBUTIR 50X50X15 CM</t>
  </si>
  <si>
    <t>CAIXA DISTRIBUIÇÃO TELEFÔNICA DE EMBUTIR 40X40X12 CM</t>
  </si>
  <si>
    <t>CAIXA DISTRIBUIÇÃO TELEFÔNICA DE EMBUTIR 60X60X12 CM</t>
  </si>
  <si>
    <t>CAIXA DISTRIBUIÇÃO TELEFÔNICA DE EMBUTIR  80X80X12 CM</t>
  </si>
  <si>
    <t>CAIXA DISTRIBUIÇÃO TELEFÔNICA DE EMBUTIR 120X120X12 CM</t>
  </si>
  <si>
    <t>CAIXA METÁLICA HEXAGONAL PARA ARANDELA (SEXTAVADA 3"X3")</t>
  </si>
  <si>
    <t>CAIXA METALICA OCTOGONAL FUNDO MOVEL SIMPLES 2"</t>
  </si>
  <si>
    <t>CAIXA METALICA OCTOGONAL FUNDO MOVEL DUPLA 4"</t>
  </si>
  <si>
    <t>CAIXA METALICA RET. 4" X 2" X 2"</t>
  </si>
  <si>
    <t>CAIXA METALICA QUADRADA 4"X4"X2"</t>
  </si>
  <si>
    <t>CAIXA METÁLICA PARA PROTEÇÃO GERAL 580X500X216MM ATÉ 175A</t>
  </si>
  <si>
    <t>CAIXA METÁLICA PARA PROTEÇÃO GERAL 820X750X266MM DE 250A A 350A</t>
  </si>
  <si>
    <t>CAIXA METÁLICA PARA T.C. 820X750X266MM - 250 A 350A</t>
  </si>
  <si>
    <t>CAIXA METÁLICA PARA PROTEÇÃO GERAL 1200X1000X310MM DE 500A A 800A</t>
  </si>
  <si>
    <t>CAIXA METÁLICA PARA T.C. 1200X1000X310MM - 500 a 800A</t>
  </si>
  <si>
    <t>CAIXA PARA QUADRO DE COMANDO METÁLICA DE SOBREPOR 40X30X20 CM</t>
  </si>
  <si>
    <t>CAIXA PARA QUADRO DE COMANDO METÁLICA DE SOBREPOR 20X20X12 CM</t>
  </si>
  <si>
    <t xml:space="preserve">CAIXA PARA QUADRO DE COMANDO METÁLICA DE SOBREPOR 30X30X20 CM </t>
  </si>
  <si>
    <t>CAIXA PARA QUADRO DE COMANDO METÁLICA DE SOBREPOR 40X40X20 CM</t>
  </si>
  <si>
    <t xml:space="preserve">CAIXA PARA QUADRO DE COMANDO METÁLICA DE SOBREPOR 60X60X20 CM </t>
  </si>
  <si>
    <t xml:space="preserve">CAIXA PARA QUADRO DE COMANDO METÁLICA DE SOBREPOR 80X60X25 CM </t>
  </si>
  <si>
    <t>CAIXA METÁLICA PARA PROTEÇÃO GERAL 500X380X166MM ATÉ 175A ( GRUPO B )</t>
  </si>
  <si>
    <t>CAIXA METÁLICA PARA MEDIDOR MONOFÁSICO PADRÃO ENEL 300X220X151MM</t>
  </si>
  <si>
    <t>CAIXA DE PASSAGEM 20X20X25CM FUNDO BRITA SEM TAMPA</t>
  </si>
  <si>
    <t>CAIXA DE PASSAGEM 30X30X40CM COM TAMPA E DRENO BRITA</t>
  </si>
  <si>
    <t>CAIXA DE PASSAGEM 35X60X50CM FUNDO DE CONCRETO (PARA TAMPA R1)</t>
  </si>
  <si>
    <t>CAIXA DE PASSAGEM 107 X 52 X 50CM  FUNDO DE CONCRETO (PARA TAMPA R2)</t>
  </si>
  <si>
    <t>CAIXA DE PASSAGEM 40X40X50CM FUNDO DE BRITA SEM TAMPA</t>
  </si>
  <si>
    <t>CAIXA DE PASSAGEM 50X50X80CM FUNDO DE BRITA SEM TAMPA</t>
  </si>
  <si>
    <t>CAIXA DE PASSAGEM 60X60X80CM FUNDO DE BRITA SEM TAMPA</t>
  </si>
  <si>
    <t>CAIXA DE PASSAGEM 80X80X110 CM FUNDO DE BRITA SEM TAMPA</t>
  </si>
  <si>
    <t>CAIXA DE PASSAGEM 80X80X130CM FUNDO DE BRITA SEM TAMPA</t>
  </si>
  <si>
    <t>CAIXA METÁLICA PARA MEDIDOR POLIFÁSICO PADRÃO ENEL 500X380X166MM</t>
  </si>
  <si>
    <t>CAIXA METÁLICA PARA T.C. 580X500X216MM - ATÉ 175A</t>
  </si>
  <si>
    <t>CANALETA COM TAMPA (LINHA X OU EQUIVALENTE) 20X12X2000 MM</t>
  </si>
  <si>
    <t>CANALETA COM TAMPA (LINHA X OU EQUIVALENTE) 32X16X2000 MM</t>
  </si>
  <si>
    <t>CANALETA COM TAMPA (LINHA X OU EQUIVALENTE) 40X16X2000 MM</t>
  </si>
  <si>
    <t>CANALETA COM TAMPA (LINHA X OU EQUIVALENTE) 50X20X2000 MM</t>
  </si>
  <si>
    <t>CANALETA COM TAMPA (LINHA X OU EQUIVALENTE) 110X20X2000 MM</t>
  </si>
  <si>
    <t>CANTONEIRA METALICA 38 X 38 MM ( ZZ ALTA)</t>
  </si>
  <si>
    <t>CANTONEIRA AUXILIAR PARA BRAÇO TIPO C</t>
  </si>
  <si>
    <t>CERTIFICAÇÃO DIGITAL DE REDE PARA CABEAMENTO ESTRUTURADO</t>
  </si>
  <si>
    <t>CH.PARTIDA DE MOTOR TRIF.C/RELE FALTA DE FASE 5CV</t>
  </si>
  <si>
    <t>CH.PARTIDA MOTOR TRIF.C/RELE DE FALTA DE FASE 10CV</t>
  </si>
  <si>
    <t>CH.PARTIDA MOTOR TRIF.C/RELE DE FALTA DE FASE 2CV</t>
  </si>
  <si>
    <t>CH.PARTIDA MOTOR TRIF.C/RELE FALTA DE FASE 7 1/2CV</t>
  </si>
  <si>
    <t>CHAVE FUSIVEL 15 KV, 50A (CHAVE MATHEUS)</t>
  </si>
  <si>
    <t>CHAVE FUSIVEL,15 KV,100A, (CHAVE MATHEUS)</t>
  </si>
  <si>
    <t>CHAVE MAGNETICA C/RELE REGULAGEM 5-10A</t>
  </si>
  <si>
    <t>CHAVE MAGNETICA C/RELE REGULAGEM 7-11A</t>
  </si>
  <si>
    <t>CHAVE MAGNETICA C/RELE REGULAGEM 10,5-16,5A</t>
  </si>
  <si>
    <t>CHAVE MAGNETICA C/RELE REGULAGEM 25 - 45A</t>
  </si>
  <si>
    <t>CH.PARTIDA DE MOTOR TRIF.C/RELE FALTA DE FASE 1/2CV</t>
  </si>
  <si>
    <t>CH.PARTIDA DE MOTOR TRIF.C/RELE FALTA DE FASE 3/4CV</t>
  </si>
  <si>
    <t>CH.PARTIDA DE MOTOR TRIF.C/RELE FALTA DE FASE 1 CV</t>
  </si>
  <si>
    <t>CH.PARTIDA DE MOTOR TRIF.C/RELE FALTA DE FASE 1 1/2CV</t>
  </si>
  <si>
    <t>CHAVE PARTIDA MOTOR TRIFÁSICA C/RELE FALTA DE FASE 3 CV</t>
  </si>
  <si>
    <t>CHAVE PARTIDA MOTOR TRIFÁSICA C/RELE FALTA DE FASE 15 CV</t>
  </si>
  <si>
    <t>CHAVE PARTIDA MOTOR TRIFÁSICA C/RELE FALTA DE FASE 20CV</t>
  </si>
  <si>
    <t>CHAVE REVERSORA ROTATIVA (COMUTAD.) TRIPOLAR 10A</t>
  </si>
  <si>
    <t>CHAVE REVERSORA ROTATIVA (COMUTAD.) TRIPOLAR 16A</t>
  </si>
  <si>
    <t>CHAVE REVERSORA ROTATIVA (COMUTAD.) TRIPOLAR 20A</t>
  </si>
  <si>
    <t>CHAVE REVERSORA ROTATIVA (COMUTAD.) TRIPOLAR 32A</t>
  </si>
  <si>
    <t>CHAVE REVERSORA ROTATIVA (COMUTAD.) TRIPOLAR 40A</t>
  </si>
  <si>
    <t>CHAVE REVERSORA ROTATIVA (COMUTAD.) TRIPOLAR 63A</t>
  </si>
  <si>
    <t>CHAVE REVERSORA ROTATIVA (COMUTAD.) TRIPOLAR 100A</t>
  </si>
  <si>
    <t>CHAVE TRIPOLAR TIPO PACCO 100-A</t>
  </si>
  <si>
    <t>CHAVE TRIPOLAR TIPO PACCO 16-A</t>
  </si>
  <si>
    <t>CHAVE TRIPOLAR TIPO PACCO 20-A</t>
  </si>
  <si>
    <t>CHAVE TRIPOLAR TIPO PACCO 32A</t>
  </si>
  <si>
    <t>CHAVE TRIPOLAR TIPO PACCO 40A</t>
  </si>
  <si>
    <t>CHAVE TRIPOLAR TIPO PACCO 63-A</t>
  </si>
  <si>
    <t>CHUMBADOR PARA CANTONEIRA D = 1/4"</t>
  </si>
  <si>
    <t>CHUMBADOR PARA CANTONEIRA D = 3/8"</t>
  </si>
  <si>
    <t>CINTA DE ACO GALVANIZADO DIAM.190 MM</t>
  </si>
  <si>
    <t>CINTA DE ACO GALVANIZADO DIAM.220 MM</t>
  </si>
  <si>
    <t>CINTA DE ACO GALVANIZADO DIAM.230MM</t>
  </si>
  <si>
    <t xml:space="preserve">CONDULETE DE PVC - CAIXA COM 5 ENTRADAS </t>
  </si>
  <si>
    <t xml:space="preserve">CONDULETE DE PVC - ADAPTADOR DE SAÍDA 3/4"  </t>
  </si>
  <si>
    <t xml:space="preserve">CONDULETE DE PVC - ADAPTADOR DE SAÍDA 1" </t>
  </si>
  <si>
    <t xml:space="preserve">CONDULETE DE PVC - TAMPÃO DE 3/4"  </t>
  </si>
  <si>
    <t xml:space="preserve">CONDULETE DE PVC - TAMPÃO DE 1"  </t>
  </si>
  <si>
    <t xml:space="preserve">CONDULETE METÁLICO - CAIXA COM 5 ENTRADAS </t>
  </si>
  <si>
    <t xml:space="preserve">CONDULETE METÁLICO - ADAPTADOR DE SAÍDA 3/4" </t>
  </si>
  <si>
    <t>CONDULETE METÁLICO - ADAPTADOR DE SAÍDA 1"</t>
  </si>
  <si>
    <t xml:space="preserve">CONDULETE METÁLICO - TAMPÃO DE 3/4" </t>
  </si>
  <si>
    <t xml:space="preserve">CONDULETE METÁLICO - TAMPÃO DE 1" </t>
  </si>
  <si>
    <t>CONECTOR DE COMPRESSÃO FORMATO H PARA CABO 25 A 70 MM2</t>
  </si>
  <si>
    <t>CONECTOR PARALELO DE ALUMÍNIO CA/CU 10-1/0 COM 01 PARAFUSO</t>
  </si>
  <si>
    <t>CONECTOR MACHO RJ-45 CAT. 6</t>
  </si>
  <si>
    <t>CONECTOR TIPO PARAFUSO FENDIDO 4 MM2</t>
  </si>
  <si>
    <t>CONECTOR TIPO PARAFUSO FENDIDO 6 MM2</t>
  </si>
  <si>
    <t>CONECTOR TIPO PARAFUSO FENDIDO 10 MM2</t>
  </si>
  <si>
    <t>CONECTOR TIPO PARAFUSO FENDIDO 16 MM2</t>
  </si>
  <si>
    <t>CONECTOR TIPO PARAFUSO FENDIDO 25 MM2</t>
  </si>
  <si>
    <t>CONECTOR TIPO PARAFUSO FENDIDO 35 MM2</t>
  </si>
  <si>
    <t>CONECTOR TIPO PARAFUSO FENDIDO 50 MM2</t>
  </si>
  <si>
    <t>CONECTOR TIPO PARAFUSO FENDIDO 70 MM2</t>
  </si>
  <si>
    <t>CONECTOR TIPO PARAFUSO FENDIDO 95 MM2</t>
  </si>
  <si>
    <t>CONECTOR TIPO PARAFUSO FENDIDO 120 MM2</t>
  </si>
  <si>
    <t>CONECTOR TIPO PARAFUSO FENDIDO 150 MM2</t>
  </si>
  <si>
    <t>CONECTOR TIPO PARAFUSO FENDIDO 185 MM2</t>
  </si>
  <si>
    <t>CONECTOR TRIPOLAR EM PORCELANA PARA FIOS DE ATÉ 10MM2 (BORNES) 50A-250V (CHUVEIRO)</t>
  </si>
  <si>
    <t>CONTATOR TRIPOLAR - 9A, 500V NOMINAL, COMANDO 220V,  CATEGORIA AC-3</t>
  </si>
  <si>
    <t>CONTATOR TRIPOLAR - 12A, 500V NOMINAL, COMANDO 220V, CATEGORIA AC-3.</t>
  </si>
  <si>
    <t>CONTATOR TRIPOLAR - 16A, 500V NOMINAL, COMANDO 220V, CATEGORIA AC-3.</t>
  </si>
  <si>
    <t>CONTATOR TRIPOLAR - 25A, 500V NOMINAL, 220V COMANDO, CATEGORIA AC-3.</t>
  </si>
  <si>
    <t>CONTATOR TRIPOLAR - 32A, 500V NOMINAL, COMANDO 220V, CATEGORIA AC-3.</t>
  </si>
  <si>
    <t>CONTATOR TRIPOLAR - 50A, 500V NOMINAL, COMANDO 220V, CATEGORIA AC-3.</t>
  </si>
  <si>
    <t>CONTATOR TRIPOLAR - 65A, 500V NOMINAL, COMANDO 220V, CATEGORIA AC-3.</t>
  </si>
  <si>
    <t>CONTATOR TRIPOLAR - 80A, 500V NOMINAL, COMANDO 220V, CATEGORIA AC-3.</t>
  </si>
  <si>
    <t>COTOVELO EXTERNO PARA CANALETA (LINHA X OU EQUIVALENTE) 20X12 MM</t>
  </si>
  <si>
    <t>COTOVELO EXTERNO PARA CANALETA (LINHA X OU EQUIVALENTE) 32X16 MM</t>
  </si>
  <si>
    <t>COTOVELO EXTERNO PARA CANALETA (LINHA X OU EQUIVALENTE) 40X16 MM</t>
  </si>
  <si>
    <t>COTOVELO EXTERNO PARA CANALETA (LINHA X OU EQUIVALENTE) 50X20 MM</t>
  </si>
  <si>
    <t>COTOVELO EXTERNO PARA CANALETA (LINHA X OU EQUIVALENTE) 110X20 MM</t>
  </si>
  <si>
    <t>COTOVELO INTERNO PARA CANALETA (LINHA X OU EQUIVALENTE) 20X12 MM</t>
  </si>
  <si>
    <t>COTOVELO INTERNO PARA CANALETA (LINHA X OU EQUIVALENTE) 32X16 MM</t>
  </si>
  <si>
    <t>COTOVELO INTERNO PARA CANALETA (LINHA X OU EQUIVALENTE) 40X16 MM</t>
  </si>
  <si>
    <t>COTOVELO INTERNO PARA CANALETA (LINHA X OU EQUIVALENTE) 50X20 MM</t>
  </si>
  <si>
    <t>COTOVELO INTERNO PARA CANALETA (LINHA X OU EQUIVALENTE) 110X20 MM</t>
  </si>
  <si>
    <t>CRUZETA POLIMÉRICA 90X112X2400 MM</t>
  </si>
  <si>
    <t>CRUZETA HORIZONTAL 90º PARA ELETROCALHA 50X50 MM</t>
  </si>
  <si>
    <t>CURVA DE INVERSAO PARA ELETROCALHA 50 X 50 MM</t>
  </si>
  <si>
    <t>CURVA 90 GRAUS AÇO ZINCADO DIÂMETRO 1/2"</t>
  </si>
  <si>
    <t>CURVA 90 GRAUS AÇO ZINCADO DIÂMETRO 3/4"</t>
  </si>
  <si>
    <t>CURVA 90 GRAUS AÇO ZINCADO DIÂMETRO 1"</t>
  </si>
  <si>
    <t>CURVA 90 GRAUS AÇO ZINCADO DIÂMETRO 1.1/4"</t>
  </si>
  <si>
    <t>CURVA 90 GRAUS AÇO ZINCADO DIÂMETRO 1.1/2"</t>
  </si>
  <si>
    <t>CURVA 90 GRAUS AÇO ZINCADO DIÂMETRO 2"</t>
  </si>
  <si>
    <t>CURVA 90 GRAUS AÇO ZINCADO DIÂMETRO 2.1/2"</t>
  </si>
  <si>
    <t>CURVA 90 GRAUS AÇO ZINCADO DIÂMETRO 3"</t>
  </si>
  <si>
    <t>CURVA 90 GRAUS AÇO ZINCADO DIÂMETRO 4"</t>
  </si>
  <si>
    <t>CURVA DE 90 GRAUS DE PVC RIGIDO DIAM.1/2"</t>
  </si>
  <si>
    <t>CURVA DE 90 GRAUS DE PVC RIGIDO DIAM. 3/4"</t>
  </si>
  <si>
    <t>CURVA DE 90 GRAUS DE PVC RIGIDO DIAM. 1"</t>
  </si>
  <si>
    <t>CURVA DE 90 GRAUS DE PVC RIGIDO DIAM. 1.1/4"</t>
  </si>
  <si>
    <t>CURVA DE 90 GRAUS DE PVC RIGIDO DIAM. 1.1/2"</t>
  </si>
  <si>
    <t>CURVA DE 90 GRAUS DE PVC RIGIDO DIAM. 2"</t>
  </si>
  <si>
    <t>CURVA DE 90 GRAUS DE PVC RIGIDO DIAM. 2.1/2"</t>
  </si>
  <si>
    <t>CURVA DE 90 GRAUS DE PVC RIGIDO DIAM. 3"</t>
  </si>
  <si>
    <t>CURVA DE 90 GRAUS DE PVC RIGIDO DIAM. 4"</t>
  </si>
  <si>
    <t>CURVA DE 90 GRAUS AÇO GALVANIZADO DIAM.1/2"</t>
  </si>
  <si>
    <t>CURVA DE 90 GRAUS AÇO GALVANIZADO DIAM.3/4"</t>
  </si>
  <si>
    <t>CURVA DE 90 GRAUS AÇO GALVANIZADO DIAM.1"</t>
  </si>
  <si>
    <t>CURVA DE 90 GRAUS AÇO GALVANIZADO DIAM.1.1/4"</t>
  </si>
  <si>
    <t>CURVA DE 90 GRAUS AÇO GALVANIZADO DIAM. 1.1/2"</t>
  </si>
  <si>
    <t>CURVA DE 90 GRAUS AÇO GALVANIZADO DIAM. 2"</t>
  </si>
  <si>
    <t>CURVA DE 90 GRAUS AÇO GALVANIZADO DIAM. 2.1/2"</t>
  </si>
  <si>
    <t>CURVA DE 90 GRAUS AÇO GALVANIZADO DIAM. 3"</t>
  </si>
  <si>
    <t>CURVA DE 90 GRAUS AÇO GALVANIZADO DIÂMETRO 4"</t>
  </si>
  <si>
    <t>DESVIO A DIREITA PARA ELETROCALHA 50 X 50 MM</t>
  </si>
  <si>
    <t>DIMMER ROTATIVO SIMPLES 400 A 500W</t>
  </si>
  <si>
    <t>DISJUNTOR MONOPOLAR DE 10 A 32-A</t>
  </si>
  <si>
    <t>DISJUNTOR MONOPOLAR DE 35 A 50-A</t>
  </si>
  <si>
    <t>DISJUNTOR TRIPOLAR DE 10 A 35-A</t>
  </si>
  <si>
    <t>DISJUNTOR TRIPOLAR 40 A 50A</t>
  </si>
  <si>
    <t>DISJUNTOR TRIPOLAR DE 60 A 100-A</t>
  </si>
  <si>
    <t>DISJUNTOR TRIPOLAR DE 125-A</t>
  </si>
  <si>
    <t>DISJUNTOR TRIPOLAR DE 150 A 175-A</t>
  </si>
  <si>
    <t>DISJUNTOR TRIPOLAR DE 200-A</t>
  </si>
  <si>
    <t>DISJUNTOR TRIPOLAR DE 225-A</t>
  </si>
  <si>
    <t>DISJUNTOR TRIPOLAR DE 250-A</t>
  </si>
  <si>
    <t>DISJUNTOR TRIPOLAR DE 300 A 350-A</t>
  </si>
  <si>
    <t>DISPOSITIVO DE PROTEÇÃO CONTRA SURTOS (D.P.S.) 275V DE 8 A 40KA</t>
  </si>
  <si>
    <t>DISPOSITIVO DE PROTEÇÃO CONTRA SURTOS (D.P.S.) 275V DE 90KA</t>
  </si>
  <si>
    <t>ELETROCALHA PRÉ-ZINCADA, CH. 22, PERFIL "C" COM ABAS 50X50 MM SEM TAMPA</t>
  </si>
  <si>
    <t>ELETRODUTO PVC FLEXÍVEL - MANGUEIRA CORRUGADA LEVE - DIAM. 20MM</t>
  </si>
  <si>
    <t>ELETRODUTO PVC FLEXÍVEL - MANGUEIRA CORRUGADA LEVE - DIAM. 25MM</t>
  </si>
  <si>
    <t>ELETRODUTO PVC FLEXÍVEL - MANGUEIRA CORRUGADA LEVE - DIAM. 32MM</t>
  </si>
  <si>
    <t>ELETRODUTO PVC FLEXÍVEL - MANGUEIRA CORRUGADA REFORÇADA - DIAM. 40MM</t>
  </si>
  <si>
    <t>ELETRODUTO PVC FLEXÍVEL - MANGUEIRA CORRUGADA REFORÇADA - DIAM. 50MM</t>
  </si>
  <si>
    <t>ELETRODUTO PVC FLEXÍVEL - MANGUEIRA CORRUGADA REFORÇADA - DIAM. 60MM</t>
  </si>
  <si>
    <t>ELETRODUTO PVC FLEXÍVEL - MANGUEIRA CORRUGADA REFORÇADA - DIAM. 75MM</t>
  </si>
  <si>
    <t>ELETRODUTO DE PVC RIGIDO DIAMETRO 1/2"</t>
  </si>
  <si>
    <t>ELETRODUTO DE PVC RIGIDO DIAMETRO 3/4"</t>
  </si>
  <si>
    <t>ELETRODUTO DE PVC RIGIDO DIAMETRO 1"</t>
  </si>
  <si>
    <t>ELETRODUTO DE PVC RIGIDO DIAMETRO 1.1/2"</t>
  </si>
  <si>
    <t>ELETRODUTO DE PVC RIGIDO DIAMETRO 1.1/4"</t>
  </si>
  <si>
    <t>ELETRODUTO DE PVC RIGIDO DIAMETRO 2"</t>
  </si>
  <si>
    <t>ELETRODUTO DE PVC RIGIDO DIAMETRO 2.1/2"</t>
  </si>
  <si>
    <t>ELETRODUTO DE PVC RIGIDO DIAMETRO 3"</t>
  </si>
  <si>
    <t>ELETRODUTO DE PVC RIGIDO DIAMETRO 4"</t>
  </si>
  <si>
    <t xml:space="preserve">ELETRODUTO EM AÇO GALVANIZADO A FOGO DIÂMETRO 1/2" - PESADO </t>
  </si>
  <si>
    <t xml:space="preserve">ELETRODUTO EM AÇO GALVANIZADO A FOGO DIÂMETRO 3/4" - PESADO </t>
  </si>
  <si>
    <t xml:space="preserve">ELETRODUTO EM AÇO GALVANIZADO A FOGO DIÂMETRO 1" - PESADO </t>
  </si>
  <si>
    <t xml:space="preserve">ELETRODUTO EM AÇO GALVANIZADO A FOGO DIÂMETRO 1 1/4" - PESADO </t>
  </si>
  <si>
    <t xml:space="preserve">ELETRODUTO EM AÇO GALVANIZADO A FOGO DIÂMETRO 1 1/2" - PESADO </t>
  </si>
  <si>
    <t xml:space="preserve">ELETRODUTO EM AÇO GALVANIZADO A FOGO DIÂMETRO 2" - PESADO </t>
  </si>
  <si>
    <t xml:space="preserve">ELETRODUTO EM AÇO GALVANIZADO A FOGO DIÂMETRO 2 1/2" - PESADO </t>
  </si>
  <si>
    <t xml:space="preserve">ELETRODUTO EM AÇO GALVANIZADO A FOGO DIÂMETRO 3" - PESADO </t>
  </si>
  <si>
    <t xml:space="preserve">ELETRODUTO EM AÇO GALVANIZADO A FOGO DIÂMETRO 4" - PESADO </t>
  </si>
  <si>
    <t>ELETRODUTO METALICO FLEXIVEL DIAMETRO DIAM.1/2"</t>
  </si>
  <si>
    <t>ELETRODUTO METALICO FLEXIVEL DIAMETRO DIAM.3/4"</t>
  </si>
  <si>
    <t>ELETRODUTO METALICO FLEXIVEL DIAMETRO DIAM. 1"</t>
  </si>
  <si>
    <t>ELETRODUTO EM AÇO ZINCADO DIÂMETRO 1/2"</t>
  </si>
  <si>
    <t>ELETRODUTO EM AÇO ZINCADO DIÂMETRO 3/4"</t>
  </si>
  <si>
    <t>ELETRODUTO EM AÇO ZINCADO DIÂMETRO 1"</t>
  </si>
  <si>
    <t>ELETRODUTO EM AÇO ZINCADO DIÂMETRO 1.1/4"</t>
  </si>
  <si>
    <t>ELETRODUTO EM AÇO ZINCADO DIÂMETRO 1.1/2"</t>
  </si>
  <si>
    <t>ELETRODUTO EM AÇO ZINCADO DIÂMETRO 2"</t>
  </si>
  <si>
    <t>ELETRODUTO EM AÇO ZINCADO DIÂMETRO 2.1/2"</t>
  </si>
  <si>
    <t>ELETRODUTO EM AÇO ZINCADO DIÂMETRO 3"</t>
  </si>
  <si>
    <t>ELETRODUTO EM AÇO ZINCADO DIÂMETRO 4"</t>
  </si>
  <si>
    <t>ELO FUSÍVEL 5 H</t>
  </si>
  <si>
    <t>ELO FUSÍVEL 6 K</t>
  </si>
  <si>
    <t>ELO FUSIVEL 8 K - 15 KV</t>
  </si>
  <si>
    <t>ELO FUSIVEL 10 K - 15 KV</t>
  </si>
  <si>
    <t>ESTICADOR PARA CABO DE AÇO 1/4"</t>
  </si>
  <si>
    <t>EMENDA INTERNA PARA ELETROCALHA (50 X 50 MM)</t>
  </si>
  <si>
    <t>ESPELHO BAQUELITE 4" X 2" 1 FURO RJ-45</t>
  </si>
  <si>
    <t>ESPELHO BAQUELITE 4" X 2" 2 FUROS RJ-45</t>
  </si>
  <si>
    <t>FIO DE COBRE NU 2,5 MM2 (45,05M /KG)</t>
  </si>
  <si>
    <t>FIO DE COBRE NU 4 MM2 (28,00 M/KG)</t>
  </si>
  <si>
    <t>FIO DE COBRE NU 6 MM2 (18,00 M/KG)</t>
  </si>
  <si>
    <t>FIO DE COBRE NU 10 MM2 (11,00 M/KG)</t>
  </si>
  <si>
    <t>FIO ISOLADO PVC 750 V,  1,5 MM2</t>
  </si>
  <si>
    <t>FIO ISOLADO PVC 750 V, 2,5 MM2</t>
  </si>
  <si>
    <t>FIO ISOLADO PVC 750 V, 4 MM2</t>
  </si>
  <si>
    <t>FIO ISOLADO PVC 750 V, 6 MM2</t>
  </si>
  <si>
    <t>FIO ISOLADO PVC 750 V, 10 MM2</t>
  </si>
  <si>
    <t>FITA DE AUTO FUSAO, ROLO DE 2,00 M</t>
  </si>
  <si>
    <t>FITA DE AUTO FUSAO, ROLO E 10,00 MM</t>
  </si>
  <si>
    <t>FITA ISOLANTE, ROLO DE 5,00 M</t>
  </si>
  <si>
    <t>FITA ISOLANTE, ROLO DE 10,00 M</t>
  </si>
  <si>
    <t>FITA ISOLANTE, ROLO DE 20,00 M</t>
  </si>
  <si>
    <t>GRAMPO DE ANCORAGEM POLIMÉRICO</t>
  </si>
  <si>
    <t>GRAMPO PARA CABO DE AÇO 1/4"</t>
  </si>
  <si>
    <t>HASTE REV.COBRE(COPPERWELD)  3/4" X 2,40 M C/CONECTOR</t>
  </si>
  <si>
    <t>HASTE REV.COBRE(COPPERWELD)  5/8" X 3,00 M C/CONECTOR</t>
  </si>
  <si>
    <t>HASTE CANTONEIRA 2,00 M  C/CONECTOR</t>
  </si>
  <si>
    <t>HASTE CANTONEIRA 2,40 M C/CONECTOR</t>
  </si>
  <si>
    <t>IGNITOR S-52 PARA LÂMPADA DE VAPOR METÁLICO 2000 W.</t>
  </si>
  <si>
    <t>INTERRUPTOR BIPOLAR SIMPLES 25-A (P/ AR CONDICIONADO)</t>
  </si>
  <si>
    <t>INTERRUPTOR 1 SEÇÃO (LINHA X OU EQUIVALENTE)</t>
  </si>
  <si>
    <t>INTERRUPTOR 2 SEÇÕES (LINHA X OU EQUIVALENTE)</t>
  </si>
  <si>
    <t>INTERRUPTOR INTERMEDIARIO (FOUR-WAY)</t>
  </si>
  <si>
    <t>INTERRUPTOR PARALELO SIMPLES (1 SECAO)</t>
  </si>
  <si>
    <t>INTERRUPTOR PARALELO DUPLO (2 SECOES)</t>
  </si>
  <si>
    <t>INTERRUPTOR SIMPLES (1 SECAO)</t>
  </si>
  <si>
    <t>INTERRUPTOR SIMPLES (2 SECOES)</t>
  </si>
  <si>
    <t>INTERRUPTOR SIMPLES (3 SECOES)</t>
  </si>
  <si>
    <t>INTERRUPTOR SIMPLES 1 SEÇÃO E 1 TOMADA HEXAGONAL 2P + T - 10A CONJUGADOS</t>
  </si>
  <si>
    <t>INTERRUPTOR DIFERENCIAL RESIDUAL (D.R.) BIPOLAR DE 25A-30mA</t>
  </si>
  <si>
    <t>INTERRUPTOR DIFERENCIAL RESIDUAL (D.R.) BIPOLAR DE 40A-30mA</t>
  </si>
  <si>
    <t>INTERRUPTOR DIFERENCIAL RESIDUAL (D.R.) BIPOLAR DE 63A-30mA</t>
  </si>
  <si>
    <t>INTERRUPTOR DIFERENCIAL RESIDUAL (D.R.) TETRAPOLAR DE 25A-30mA</t>
  </si>
  <si>
    <t>INTERRUPTOR DIFERENCIAL RESIDUAL (D.R.) TETRAPOLAR DE 40A-30mA</t>
  </si>
  <si>
    <t>INTERRUPTOR DIFERENCIAL RESIDUAL (D.R.) TETRAPOLAR DE 63A-30mA</t>
  </si>
  <si>
    <t>ISOLADOR EPOXI 25X30 (BUJAO)</t>
  </si>
  <si>
    <t>ISOLADOR EPOXI 30X30 (BUJAO)</t>
  </si>
  <si>
    <t>ISOLADOR EPOXI 40X30 (BUJAO)</t>
  </si>
  <si>
    <t>ISOLADOR EPOXI 50X40 (BUJAO)</t>
  </si>
  <si>
    <t>ISOLADOR EPOXI 60X30 (BUJAO)</t>
  </si>
  <si>
    <t>ISOLADOR EPOXI 60 X 50 (BUJAO)</t>
  </si>
  <si>
    <t>ISOLADOR DE BAQUELITA COM CHAPA DE ENCOSTO</t>
  </si>
  <si>
    <t>ISOLADOR DE BAQUELITE SIMPLES COM SUPORTE E BRAÇADEIRA METÁLICA 1.1/2"</t>
  </si>
  <si>
    <t>ISOLADOR DE BAQUELITE SIMPLES COM GRAPA PARA CHUMBAR 100 MM</t>
  </si>
  <si>
    <t>ISOLADOR DE BAQUELITE REFORÇADO FIXAÇÃO PARA QUINA DE 90º</t>
  </si>
  <si>
    <t>ISOLADOR DE BAQUELITE SIMPLES COM CALHA</t>
  </si>
  <si>
    <t>ISOLADOR DE ANCORAGEM POLIMÉRICO 15KV</t>
  </si>
  <si>
    <t>ISOLADOR ROLDANA PORCELANA 72 X 72 MM</t>
  </si>
  <si>
    <t>ISOLADOR ROLDANA PORCELANA 76 X 79 MM</t>
  </si>
  <si>
    <t>ISOLADOR ROLDANA PVC PEQUENO (101)</t>
  </si>
  <si>
    <t>ISOLADOR ROLDANA PVC MEDIO (102)</t>
  </si>
  <si>
    <t>ISOLADOR ROLDANA PVC GRANDE (103)</t>
  </si>
  <si>
    <t>ISOLADOR, PINO 15 KV ROSCA 25 MM</t>
  </si>
  <si>
    <t>LAÇO PREFORMADO DE DISTRIBUICAO</t>
  </si>
  <si>
    <t>LAMPADA A VAPOR DE MERCURIO 125 W</t>
  </si>
  <si>
    <t>LAMPADA A VAPOR MERCURIO 250 W</t>
  </si>
  <si>
    <t>LAMPADA A VAPOR MERCURIO 400 W</t>
  </si>
  <si>
    <t>LAMPADA A VAPOR METALICO 2000 W</t>
  </si>
  <si>
    <t>LAMPADA VAPOR METALICO OVOIDE 70 W</t>
  </si>
  <si>
    <t>LAMPADA VAPOR METALICO OVOIDE 150 W</t>
  </si>
  <si>
    <t>LAMPADA VAPOR METALICO OVOIDE 250W</t>
  </si>
  <si>
    <t>LAMPADA VAPOR METALICO OVOIDE 400 W</t>
  </si>
  <si>
    <t>LAMPADA VAPOR METALICO TUBULAR 1000 W</t>
  </si>
  <si>
    <t>LÂMPADA FLUORESCENTE TUBULAR T5 DE 14 W</t>
  </si>
  <si>
    <t>LÂMPADA FLUORESCENTE TUBULAR T5 DE 28 W</t>
  </si>
  <si>
    <t>LAMPADA MISTA DE 160 W</t>
  </si>
  <si>
    <t>LAMPADA MISTA 250 W</t>
  </si>
  <si>
    <t>LAMPADA MISTA 500 W</t>
  </si>
  <si>
    <t>LAMPADA COMPACTA ELETRÔNICA COM REATOR INTEGRADO 15 W</t>
  </si>
  <si>
    <t>LAMPADA COMPACTA ELETRÔNICA COM REATOR INTEGRADO  25/26 W</t>
  </si>
  <si>
    <t>LAMPADA VAPOR DE SODIO OVOIDE 150 W</t>
  </si>
  <si>
    <t>LAMPADA VAPOR DE SODIO (OVOIDE) 250 W</t>
  </si>
  <si>
    <t>LAMPADA VAPOR DE SODIO (OVOIDE) 400W</t>
  </si>
  <si>
    <t>LUMINÁRIA DE EMERGÊNCIA 30 LEDS</t>
  </si>
  <si>
    <t>LUMINÁRIA FECHADA PARA ILUMINAÇÃO PÚBLICA COM ALOJAMENTO PARA REATOR</t>
  </si>
  <si>
    <t>LUMINÁRIA BLINDADA PARA TETO COM GRADE ( MÉDIA ) - BASE E-27</t>
  </si>
  <si>
    <t xml:space="preserve">LUMINÁRIA TIPO ARANDELA DE USO EXTERNO BLINDADA COM GRADE ( PEQUENA ) - BASE E27 </t>
  </si>
  <si>
    <t>LUMINÁRIA TIPO ARANDELA DE USO EXTERNO BLINDADA COM GRADE ( MÉDIA ) - BASE E-27</t>
  </si>
  <si>
    <t>LUMINÁRIA TIPO ARANDELA DE USO EXTERNO BLINDADA COM GRADE ( GRANDE ) - BASE E-27</t>
  </si>
  <si>
    <t>LUMINÁRIA TIPO ARANDELA DE USO INTERNO - BASE E-27</t>
  </si>
  <si>
    <t>LUMINÁRIA TIPO ARANDELA DE USO EXTERNO - BASE E-27</t>
  </si>
  <si>
    <t>LUMINÁRIA DE EMBUTIR COM REFLETOR DE ALUMÍNIO E ALETAS 2X14W - INCLUSO CORTE NO FORRO</t>
  </si>
  <si>
    <t>LUMINÁRIA DE EMBUTIR COM REFLETOR DE ALUMÍNIO E ALETAS 2X28W - INCLUSO CORTE NO FORRO</t>
  </si>
  <si>
    <t>LUMINÁRIA DE EMBUTIR COM REFLETOR DE ALUMÍNIO E ALETAS 4X14W - INCLUSO CORTE NO FORRO</t>
  </si>
  <si>
    <t>LUMINÁRIA DE SOBREPOR COM REFLETOR DE ALUMÍNIO E ALETAS 2X14W</t>
  </si>
  <si>
    <t>LUMINÁRIA DE SOBREPOR COM REFLETOR DE ALUMÍNIO E ALETAS 2X28W</t>
  </si>
  <si>
    <t>LUMINÁRIA DE SOBREPOR COM REFLETOR DE ALUMÍNIO E ALETAS 4X14W</t>
  </si>
  <si>
    <t>LUMINÁRIA PARA JARDIM COM POSTE 3,00 M COM 01 LUMINÁRIA PLANA - INCLUSO BASE DE CONCRETO PADRÃO GOINFRA E FIXAÇÃO</t>
  </si>
  <si>
    <t>LUMINÁRIA PARA JARDIM COM POSTE 3,00 M COM 02 LUMINÁRIAS PLANAS - INCLUSO BASE DE CONCRETO PADRÃO GOINFRA E FIXAÇÃO</t>
  </si>
  <si>
    <t>LUMINÁRIA PARA JARDIM COM POSTE 2,50 M COM 01 GLOBO - INCLUSO BASE DE CONCRETO PADRÃO GOINFRA E FIXAÇÃO</t>
  </si>
  <si>
    <t>LUMINÁRIA PARA JARDIM COM POSTE 2,50 M COM 02 GLOBOS - INCLUSO BASE DE CONCRETO PADRÃO GOINFRA E FIXAÇÃO</t>
  </si>
  <si>
    <t>LUMINÁRIA DE EMBUTIR REGULÁVEL  ("OLHO DE BOI") - BASE E-27 - INCLUSO CORTE NO FORRO</t>
  </si>
  <si>
    <t>LUMINÁRIA TIPO SINALIZADOR PARA 01 LÂMPADA</t>
  </si>
  <si>
    <t>LUMINÁRIA TIPO SINALIZADOR PARA 02 LÂMPADAS</t>
  </si>
  <si>
    <t>LUMINÁRIA TIPO PLAFON DE SOBREPOR QUADRADA PARA 02 LÂMPADAS</t>
  </si>
  <si>
    <t>LUMINÁRIA TIPO PLAFON DE SOBREPOR REDONDA PARA 02 LÂMPADAS</t>
  </si>
  <si>
    <t>LUMINÁRIA TIPO PLAFON DE EMBUTIR QUADRADA PARA 2 LÂMPADAS - INCLUSO CORTE NO FORRO</t>
  </si>
  <si>
    <t>LUMINÁRIA CIRCULAR SEM VIDRO PARA QUADRA ATE 400 W - BASE E-40</t>
  </si>
  <si>
    <t>LUMINÁRIA CIRCULAR COM VIDRO PARA QUADRA ATÉ 400 W - BASE E-40</t>
  </si>
  <si>
    <t>LUMINÁRIA DE SOBREPOR USO AO TEMPO (TARTARUGA) - BASE E-27</t>
  </si>
  <si>
    <t>LUMINÁRIA - BASE EM CONCRETO PADRÃO GOINFRA PARA AS LUMINÁRIAS TIPO PROJETOR (CASO NECESSÁRIO )</t>
  </si>
  <si>
    <t xml:space="preserve">LUMINÁRIA TIPO PROJETOR CIRCULAR ATÉ 200 W - BASE E-27 </t>
  </si>
  <si>
    <t>LUMINÁRIA TIPO PROJETOR CIRCULAR ATÉ 400 W - BASE E-40</t>
  </si>
  <si>
    <t>LUMINÁRIA TIPO PROJETOR RETANGULAR ATÉ 400 W - BASE E-40</t>
  </si>
  <si>
    <t>LUMINÁRIA TIPO PROJETOR RETANGULAR COM PORTA REATOR ATÉ 400 W - BASE E-40</t>
  </si>
  <si>
    <t>LUMINÁRIA TIPO PROJETOR RETANGULAR ATÉ 1000 W - BASE E-40</t>
  </si>
  <si>
    <t>LUMINÁRIA TIPO PROJETOR RETANGULAR ATÉ 2000 W - BASE E-40</t>
  </si>
  <si>
    <t>LUMINÁRIA TIPO SPOT DE SOBREPOR PARA 01 LÂMPADA</t>
  </si>
  <si>
    <t>LUMINÁRIA TIPO SPOT DE SOBREPOR PARA 02 LÂMPADAS</t>
  </si>
  <si>
    <t>LUVA EM AÇO GALVANIZADO DIÂMETRO 1/2"</t>
  </si>
  <si>
    <t>LUVA EM AÇO GALVANIZADO DIÂMETRO 3/4"</t>
  </si>
  <si>
    <t>LUVA  EM AÇO GALVANIZADO DIÂMETRO 1"</t>
  </si>
  <si>
    <t>LUVA EM AÇO GALVANIZADO DIÂMETRO 1.1/4"</t>
  </si>
  <si>
    <t>LUVA EM AÇO GALVANIZADO DIÂMETRO 1.1/2"</t>
  </si>
  <si>
    <t>LUVA EM AÇO GALVANIZADO DIÂMETRO 2"</t>
  </si>
  <si>
    <t>LUVA  EM AÇO GALVANIZADO DIÂMETRO 2.1/2"</t>
  </si>
  <si>
    <t>LUVA EM AÇO GALVANIZADO DIÂMETRO 3"</t>
  </si>
  <si>
    <t>LUVA EM AÇO GALVANIZADO DIÂMETRO 4"</t>
  </si>
  <si>
    <t>LUVA DE REDUÇÃO EM AÇO GALVANIZADO 1.1/2" X 3/4"</t>
  </si>
  <si>
    <t>LUVA EM AÇO ZINCADO DIÂMETRO 1/2"</t>
  </si>
  <si>
    <t>LUVA EM AÇO ZINCADO DIÂMETRO 1"</t>
  </si>
  <si>
    <t>LUVA EM AÇO ZINCADO DIÂMETRO 3/4"</t>
  </si>
  <si>
    <t>LUVA EM AÇO ZINCADO DIÂMETRO 1.1/4"</t>
  </si>
  <si>
    <t>LUVA EM AÇO ZINCADO DIÂMETRO 1.1/2"</t>
  </si>
  <si>
    <t>LUVA EM AÇO ZINCADO DIÂMETRO 2"</t>
  </si>
  <si>
    <t>LUVA EM AÇO ZINCADO DIÂMETRO 2.1/2"</t>
  </si>
  <si>
    <t>LUVA EM AÇO ZINCADO DIÂMETRO 3"</t>
  </si>
  <si>
    <t>LUVA EM AÇO ZINCADO DIÂMETRO 4"</t>
  </si>
  <si>
    <t>LUVA PVC ROSQUEAVEL DIAMETRO 1/2"</t>
  </si>
  <si>
    <t>LUVA PVC ROSQUEAVEL DIAMETRO 3/4"</t>
  </si>
  <si>
    <t>LUVA PVC ROSQUEAVEL DIAMETRO 1"</t>
  </si>
  <si>
    <t>LUVA PVC ROSQUEAVEL DIAMETRO 1.1/4"</t>
  </si>
  <si>
    <t>LUVA PVC ROSQUEAVEL DIAMETRO 1.1/2"</t>
  </si>
  <si>
    <t>LUVA PVC ROSQUEAVEL DIAMETRO 2"</t>
  </si>
  <si>
    <t>LUVA PVC ROSQUEAVEL DIAMETRO 2.1/2"</t>
  </si>
  <si>
    <t>LUVA PVC ROSQUEAVEL DIAMETRO 3"</t>
  </si>
  <si>
    <t>LUVA PVC ROSQUEAVEL DIAMETRO 4"</t>
  </si>
  <si>
    <t>MANILHA-SAPATILHA EM AÇO GALVANIZADO</t>
  </si>
  <si>
    <t>MURETA DE MEDIÇÃO EM ALVENARIA 1 1/2 V.(35CM) REBOCADA, C/ PINTURA ACRÍLICA E LAJE EM CONCRETO 20MPA MALHA 8.0MM CADA 10CM REVESTIDA C/ARGAMASSA 1:3 C/ IMPERMEABILIZANTE</t>
  </si>
  <si>
    <t>MÃO FRANCESA SIMPLES LARGURA DE 50 MM</t>
  </si>
  <si>
    <t>MAO FRANCESA PLANA DE ACO GALVANIZADO 726 MM</t>
  </si>
  <si>
    <t>MASSA EPOXI CAIXA DE 250 G</t>
  </si>
  <si>
    <t>NIPLE METALICO Fo.Zo. DIAMETRO 1"</t>
  </si>
  <si>
    <t>NIPLE METALICO Fo.Zo. DIAMETRO 1 1/4"</t>
  </si>
  <si>
    <t>NIPLE METALICO Fo.Zo. DIAMETRO 2.1/2"</t>
  </si>
  <si>
    <t>NIPLE METALICO Fo.Zo. DIAMETRO 3"</t>
  </si>
  <si>
    <t>NIPLE METALICO Fo.Zo. DIAMETRO 4"</t>
  </si>
  <si>
    <t>NIPLE DUPLO FERRO GALVANIZADO 2"</t>
  </si>
  <si>
    <t>OLHAL PARA PARAFUSO</t>
  </si>
  <si>
    <t>ORGANIZADOR DE CABOS (GUIA)</t>
  </si>
  <si>
    <t>PADRAO MONOFASICO 10 MM2 H=5 METROS</t>
  </si>
  <si>
    <t>PADRAO MONOFASICO, 10 MM2 H=7 METROS</t>
  </si>
  <si>
    <t>PADRAO TRIFASICO 16 MM2 H=7 METROS</t>
  </si>
  <si>
    <t>PADRAO TRIFASICO 10 MM2  H=5 METROS</t>
  </si>
  <si>
    <t>PADRAO TRIFASICO, 10 MM2 H=7 METROS</t>
  </si>
  <si>
    <t>PADRAO TRIFASICO 16 MM2 H=5 METROS</t>
  </si>
  <si>
    <t>PADRÃO TRIFASICO 35 MM H=7 METROS</t>
  </si>
  <si>
    <t>PADRÃO TRIFASICO 35 MM H=5 METROS</t>
  </si>
  <si>
    <t>PADRÃO TRIFASICO 25 MM H=7 METROS</t>
  </si>
  <si>
    <t>PADRÃO TRIFASICO 25 MM H=5 METROS</t>
  </si>
  <si>
    <t>PARA RAIOS FRANKLIM 4 PONTAS</t>
  </si>
  <si>
    <t>PARA RAIOS DISTRIBUIDOR POLIMÉRICO ÓXIDO DE ZINCO S/CENTELHADOR C/ DESLIGAMENTO AUTOMÁTICO 15KV,10KA</t>
  </si>
  <si>
    <t>PARAFUSO CABEÇA ABAULADA (FRANCES) M16 X 45 MM</t>
  </si>
  <si>
    <t>PARAFUSO CABEÇA ABAULADA (FRANCES) M16 X 70 MM</t>
  </si>
  <si>
    <t>PARAFUSO COM PORCA GAIOLA PARA RACK COM 12MM E ROSCA M5</t>
  </si>
  <si>
    <t>PARAFUSO MAQUINA  16  X 125 MM</t>
  </si>
  <si>
    <t>PARAFUSO CABEÇA ABAULADA (FRANCES) M16 X 150 MM</t>
  </si>
  <si>
    <t>PARAFUSO DE AJUSTE TIPO DZ ATE 25A</t>
  </si>
  <si>
    <t>PARAFUSO DE AJUSTE TIPO DZ ATE 63A</t>
  </si>
  <si>
    <t>PARAFUSO P/BUCHA S-5</t>
  </si>
  <si>
    <t>PARAFUSO P/BUCHA S-6</t>
  </si>
  <si>
    <t>PARAFUSO P/BUCHA S-8</t>
  </si>
  <si>
    <t>PARAFUSO P/BUCHA S-10</t>
  </si>
  <si>
    <t>PARAFUSO P/BUCHA S-12</t>
  </si>
  <si>
    <t>PARAFUSO SEXTAVADO D = 1/4" X 5/8"</t>
  </si>
  <si>
    <t>PARAFUSO SEXTAVADO D = 3/8" X 3/4"</t>
  </si>
  <si>
    <t>PARAFUSO SEXTAVADO  CABEÇA LENTILHA D = 1/4" X 5/8"</t>
  </si>
  <si>
    <t>PARAFUSO ROSCA DUPLA ACO GALVANIZADO 16 X 150 C/ PORCAS</t>
  </si>
  <si>
    <t xml:space="preserve">PATCH CORD COMPRIMENTO DE 1,50 M - CAT.6 </t>
  </si>
  <si>
    <t xml:space="preserve">PATCH CORD COMPRIMENTO DE 2,50 M - CAT.6 </t>
  </si>
  <si>
    <t>PATCH PANEL PADRÃO 19" CAT. 6, COM 24 PORTAS</t>
  </si>
  <si>
    <t>PINO ISOLADOR PARA CRUZETA POLIMÉRICA 15 KV, ROSCA 25 MM</t>
  </si>
  <si>
    <t>PORCA QUADRADA DE ACO GALVANIZADO 16 X 2</t>
  </si>
  <si>
    <t>PORCA SEXTAVADA DIAMETRO 1/4"</t>
  </si>
  <si>
    <t>PORCA SEXTAVADA DIAMETRO 5/16"</t>
  </si>
  <si>
    <t>PORCA LOSANGULAR D=1/4"</t>
  </si>
  <si>
    <t>POSTE SIMPLES CÔNICO CONTÍNUO, CIRCULAR, RETO, COM DIÂMETRO NOMINAL DE 60MM NA EXTREMIDADE, GALVANIZADO A FOGO, Hútil= 7 M - ENGASTADO EM CONCRETO COM FCK = 13,5 MPA</t>
  </si>
  <si>
    <t>POSTE SIMPLES CÔNICO CONTÍNUO, CIRCULAR, RETO, COM DIÂMETRO NOMINAL DE 60MM NA EXTREMIDADE, GALVANIZADO A FOGO, Hútil=10 M - ENGASTADO EM CONCRETO COM FCK = 13,5 MPA</t>
  </si>
  <si>
    <t>POSTE SIMPLES,CÔNICO CONTÍNUO, CIRCULAR, RETO, COM DIÂMETRO NOMINAL DE 60MM NA EXTREMIDADE, GALVANIZADO A FOGO, Hútil= 12 M - ENGASTADO EM CONCRETO COM FCK = 13,5 MPA</t>
  </si>
  <si>
    <t>POSTE - ENGASTAMENTO SIMPLES PARA POSTE DE CONCRETO SEÇÃO DUPLO "T"</t>
  </si>
  <si>
    <t>POSTE - FUNDAÇÃO EM CONCRETO SIMPLES DA BASE DOS POSTES 10/600 PARA TRAFO ( DIAM. 1000MM)</t>
  </si>
  <si>
    <t>POSTE - FUNDAÇÃO EM CONCRETO SIMPLES DA BASE DOS POSTES 11/600 PARA TRAFO ( DIAM. 1000MM)</t>
  </si>
  <si>
    <t>POSTE - FUNDAÇÃO EM CONCRETO SIMPLES DA BASE DOS POSTES 13/600 PARA REDE ( DIAM. 1000MM)</t>
  </si>
  <si>
    <t>POSTE - FUNDAÇÃO EM CONCRETO ARMADO DA BASE DOS POSTES PARA REDE ( DIAM. 1200MM)</t>
  </si>
  <si>
    <t>POSTE - ENGASTAMENTO SIMPLES PARA POSTE DE CONCRETO SEÇÃO CIRCULAR</t>
  </si>
  <si>
    <t>POSTE DE CONCRETO DT 10/300 - SEM FUNDAÇÃO/CONCRETO</t>
  </si>
  <si>
    <t>POSTE DE CONCRETO DT 20/1300 - SEM FUNDAÇÃO/CONCRETO</t>
  </si>
  <si>
    <t>POSTE DE CONCRETO DT 20/1500 - SEM FUNDAÇÃO/CONCRETO</t>
  </si>
  <si>
    <t>POSTE DE CONCRETO DT 21/1500 - SEM FUNDAÇÃO/CONCRETO</t>
  </si>
  <si>
    <t>POSTE DE CONCRETO DT 22/1500 - SEM FUNDAÇÃO/CONCRETO</t>
  </si>
  <si>
    <t>POSTE DE CONCRETO DT 23/1300 - SEM FUNDAÇÃO/CONCRETO</t>
  </si>
  <si>
    <t>POSTE DE CONCRETO DT 23/1500 - SEM FUNDAÇÃO/CONCRETO</t>
  </si>
  <si>
    <t>POSTE DE CONCRETO DT 24/1500 - SEM FUNDAÇÃO/CONCRETO</t>
  </si>
  <si>
    <t>POSTE DE CONCRETO DT 25/1500 - SEM FUNDAÇÃO/CONCRETO</t>
  </si>
  <si>
    <t>POSTE DE CONCRETO SC 10/600 - SEM FUNDAÇÃO/CONCRETO</t>
  </si>
  <si>
    <t>POSTE DE CONCRETO SC 11/400 - SEM FUNDAÇÃO/CONCRETO</t>
  </si>
  <si>
    <t>POSTE DE CONCRETO SC 11/600 - SEM FUNDAÇÃO/CONCRETO</t>
  </si>
  <si>
    <t>POSTE DE CONCRETO SC 16/200 - SEM FUNDAÇÃO/CONCRETO</t>
  </si>
  <si>
    <t>POSTE/TRAFO - CAMINHÃO MUNCK 12 TON. (MÍNIMO 4H/DIA)</t>
  </si>
  <si>
    <t xml:space="preserve">H     </t>
  </si>
  <si>
    <t>POSTE/TRAFO - GUINDASTE 30 TON.(MÍNIMO 10H/DIA)</t>
  </si>
  <si>
    <t>PROTETOR PARA PARA-RAIO POLIMÉRICO</t>
  </si>
  <si>
    <t>PULSADOR CAMPAINHA</t>
  </si>
  <si>
    <t>QUADRO DE DISTRIBUIÇÃO DE EMBUTIR EM PVC CB 12E - 80A</t>
  </si>
  <si>
    <t>QUADRO DE DISTRIBUIÇÃO DE EMBUTIR EM PVC CB 24E - 80A</t>
  </si>
  <si>
    <t>QUADRO DE DISTRIBUIÇÃO DE EMBUTIR EM PVC CB 36E - 80A</t>
  </si>
  <si>
    <t>QUADRO DE DISTRIBUIÇÃO DE EMBUTIR EM PVC CB 48E - 80A</t>
  </si>
  <si>
    <t>QUADRO DE DISTRIBUIÇÃO DE EMBUTIR METÁLICO CB-24E - 150A</t>
  </si>
  <si>
    <t>QUADRO DE DISTRIBUIÇÃO DE EMBUTIR METÁLICO CB-34E - 150A</t>
  </si>
  <si>
    <t>QUADRO DE DISTRIBUIÇÃO DE EMBUTIR METÁLICO CB-44E - 150A</t>
  </si>
  <si>
    <t>QUADRO DE DISTRIBUIÇÃO DE EMBUTIR METÁLICO CB-56E - 225A</t>
  </si>
  <si>
    <t>QUADRO DE DISTRIBUIÇÃO DE EMBUTIR METÁLICO CB-70E - 225A</t>
  </si>
  <si>
    <t xml:space="preserve">RACK FECHADO DE PAREDE COM PORTA EM ACRÍLICO - 12 U´S </t>
  </si>
  <si>
    <t>RACK FECHADO DE PISO COM PORTA EM ACRÍLICO - 24 U´S</t>
  </si>
  <si>
    <t>RACK FECHADO DE PISO COM PORTA EM ACRÍLICO -  36 U´S</t>
  </si>
  <si>
    <t>RACK 1 ELEMENTO</t>
  </si>
  <si>
    <t>RACK 2 ELEMENTOS</t>
  </si>
  <si>
    <t>RACK 3 ELEMENTOS</t>
  </si>
  <si>
    <t>RACK 4 ELEMENTOS</t>
  </si>
  <si>
    <t>REATOR AFP USO EXTERNO V.METALICO 70 W</t>
  </si>
  <si>
    <t>REATOR AFP USO EXTERNO V.METALICO 150 W</t>
  </si>
  <si>
    <t>REATOR AFP USO EXTERNO V.METALICO 250 W</t>
  </si>
  <si>
    <t>REATOR AFP USO EXTERNO V.METALICO 400 W</t>
  </si>
  <si>
    <t>REATOR AFP USO EXTERNO V.METÁLICO 1000 W.</t>
  </si>
  <si>
    <t>REATOR AFP USO EXTERNO V.METALICO 2000 W</t>
  </si>
  <si>
    <t>REATOR INTERNO V. MERCÚRIO AFP 1 X 125 W</t>
  </si>
  <si>
    <t>REATOR INTERNO V. MERCÚRIO  AFP 1 X 250 W</t>
  </si>
  <si>
    <t>REATOR INTERNO V. MERCÚRIO AFP 1 X 400 W</t>
  </si>
  <si>
    <t>REATOR EXTERNO V. MERCÚRIO AFP 1 X 125 W</t>
  </si>
  <si>
    <t>REATOR EXTERNO V. MERCÚRIO  AFP 1 X 250 W</t>
  </si>
  <si>
    <t>REATOR EXTERNO V. MERCÚRIO  AFP 1 X 400 W</t>
  </si>
  <si>
    <t>REATOR ELETRÔNICO AFP 2 X 14W</t>
  </si>
  <si>
    <t>REATOR ELETRÔNICO AFP 2 X 28W</t>
  </si>
  <si>
    <t xml:space="preserve">REDUÇÃO A ESQUERDA 100 X 50MM PARA ELETROCALHA </t>
  </si>
  <si>
    <t>REDUÇÃO A DIREITA 100 X 50 MM PARA ELETROCALHA</t>
  </si>
  <si>
    <t>REDUÇÃO CONCÊNTRICA 100 X 50 MM PARA ELETROCALHA</t>
  </si>
  <si>
    <t>REGUA COM 8 TOMADAS</t>
  </si>
  <si>
    <t>RELE BIMETALICO REGULAGEM 0,63 - 1,00A</t>
  </si>
  <si>
    <t>RELE BIMETALICO REGULAGEM 1,0 - 1,60A</t>
  </si>
  <si>
    <t>RELE BIMETALICO REGULAGEM 1,6 - 2,5A</t>
  </si>
  <si>
    <t>RELE BIMETALICO REGULAGEM 10 - 16A</t>
  </si>
  <si>
    <t>RELE BIMETALICO REGULAGEM 16 - 25A</t>
  </si>
  <si>
    <t>RELE BIMETALICO REGULAGEM 2,5 - 4A</t>
  </si>
  <si>
    <t>RELE BIMETALICO REGULAGEM 20 - 32A</t>
  </si>
  <si>
    <t>RELE BIMETALICO REGULAGEM 25 - 30A</t>
  </si>
  <si>
    <t>RELE BIMETALICO REGULAGEM 32 - 50A</t>
  </si>
  <si>
    <t>RELE BIMETALICO REGULAGEM 4 - 6,3A</t>
  </si>
  <si>
    <t>RELE BIMETALICO REGULAGEM 50 - 63A</t>
  </si>
  <si>
    <t>RELE BIMETALICO REGULAGEM 6,3 - 10A</t>
  </si>
  <si>
    <t>RELE BIMETALICO REGULAGEM 8 - 12,5A</t>
  </si>
  <si>
    <t>RELE FOTO ELETRICO COM BASE</t>
  </si>
  <si>
    <t>SAIDA HORIZONTAL PARA ELETRODUTO D=3/4"</t>
  </si>
  <si>
    <t>SAIDA HORIZONTAL PARA ELETRODUTO D=1"</t>
  </si>
  <si>
    <t>SAIDA VERTICAL PARA ELETRODUTO D=3/4"</t>
  </si>
  <si>
    <t>SAIDA VERTICAL PARA ELETRODUTO D=1"</t>
  </si>
  <si>
    <t>SAPATILHA DE AÇO GALVANIZADO PARA POSTE COM TRANSFORMADOR</t>
  </si>
  <si>
    <t>SELA DE AÇO GALVANIZADA PARA CRUZETA POLIMÉRICA 15 KV</t>
  </si>
  <si>
    <t>SELA AÇO GALVANIZADO PARA CRUZETA POLIMÉRICA 34,5KV</t>
  </si>
  <si>
    <t>SIRENE METALICA ALCANCE 500 M</t>
  </si>
  <si>
    <t>SOQUETE ANTIVIBRATORIO PARA LAMPADA FLUORESCENTE</t>
  </si>
  <si>
    <t>SUPORTE PARA 1 PÉTALA PARA LUMINÁRIA DE ILUMINAÇÃO PÚBLICA</t>
  </si>
  <si>
    <t>SUPORTE PARA 2 PÉTALAS PARA LUMINÁRIA DE ILUMINAÇÃO PÚBLICA</t>
  </si>
  <si>
    <t>SUPORTE PARA 3 PÉTALAS PARA LUMINÁRIA DE ILUMINAÇÃO PÚBLICA</t>
  </si>
  <si>
    <t>SUPORTE PARA 4 PÉTALAS PARA LUMINÁRIA DE ILUMINAÇÃO PÚBLICA</t>
  </si>
  <si>
    <t>SUPORTE PARA TRANSFORMADOR EM POSTE DE CONCRETO CIRCULAR</t>
  </si>
  <si>
    <t>SUP0RTE VERTICAL PARA CANTONEIRA 50 X 50 MM</t>
  </si>
  <si>
    <t>SUPORTE DE AÇO GALVANIZADO PARA FIXAÇÃO DO PÁRA-RAIO POLIMÉRICO</t>
  </si>
  <si>
    <t>SUPORTE Z COMPLETO</t>
  </si>
  <si>
    <t>TE HORIZONTAL PARA ELETROCALHA 50 X 50 MM</t>
  </si>
  <si>
    <t>TE VERTICAL DE DESCIDA PARA ELETROCALHA 50 X 50 MM</t>
  </si>
  <si>
    <t>TAMPA DE ENCAIXE PARA ELETROCALHA DE 50 X 50 MM</t>
  </si>
  <si>
    <t>TAMPA CEGA PARA CONDULETE DE PVC</t>
  </si>
  <si>
    <t>TAMPA CEGA PARA CONDULETE METÁLICO</t>
  </si>
  <si>
    <t>TAMPA CEGA PLÁSTICA 4"X2" COM FURO CENTRAL (PARA TV/SOM...)</t>
  </si>
  <si>
    <t>TAMPA CEGA PLASTICA QUADRADA 4"X4"</t>
  </si>
  <si>
    <t>TAMPA CEGA PLASTICA REDONDA 4"X4"</t>
  </si>
  <si>
    <t>TAMPA CEGA PLASTICA RETANGULAR 4"X2"</t>
  </si>
  <si>
    <t xml:space="preserve">TAMPA PARA CONDULETE DE PVC PARA 1 INTERRUPTOR </t>
  </si>
  <si>
    <t>TAMPA PARA CONDULETE DE PVC PARA 2 INTERRUPTORES</t>
  </si>
  <si>
    <t>TAMPA PARA CONDULETE DE PVC PARA 1 TOMADA</t>
  </si>
  <si>
    <t>TAMPA PARA CONDULETE DE PVC PARA 1 INTERRUPTOR E 1 TOMADA</t>
  </si>
  <si>
    <t xml:space="preserve">TAMPA DE Fo.Fo. R1 COM BASE </t>
  </si>
  <si>
    <t>TAMPA DE Fo.Fo. R2 COM BASE</t>
  </si>
  <si>
    <t>TAMPA PARA CONDULETE METÁLICO PARA 1 INTERRUPTOR E 1 TOMADA</t>
  </si>
  <si>
    <t>TAMPA PARA CONDULETE METÁLICO PARA 2 INTERRUPTORES</t>
  </si>
  <si>
    <t>TAMPA PARA CONDULETE METÁLICO PARA 1 INTERRUPTOR</t>
  </si>
  <si>
    <t>TAMPA PARA CONDULETE METÁLICO PARA 1 TOMADA</t>
  </si>
  <si>
    <t>TERMINAL DE PRESSAO 1,5 MM2</t>
  </si>
  <si>
    <t>TERMINAL DE PRESSAO 2,5 MM2</t>
  </si>
  <si>
    <t>TERMINAL DE PRESSAO 4 MM2</t>
  </si>
  <si>
    <t>TERMINAL DE PRESSAO 6 MM2</t>
  </si>
  <si>
    <t>TERMINAL DE PRESSAO 10 MM2</t>
  </si>
  <si>
    <t>TERMINAL DE PRESSAO 16 MM2</t>
  </si>
  <si>
    <t>TERMINAL DE PRESSAO 25 MM2</t>
  </si>
  <si>
    <t>TERMINAL DE PRESSAO 35 MM2</t>
  </si>
  <si>
    <t>TERMINAL DE PRESSAO 50 MM2</t>
  </si>
  <si>
    <t>TERMINAL DE PRESSAO 70 MMM2</t>
  </si>
  <si>
    <t>TERMINAL DE PRESSAO 95 MM2</t>
  </si>
  <si>
    <t>TERMINAL DE PRESSAO 120 MM2</t>
  </si>
  <si>
    <t>TERMINAL DE PRESSAO 150 MM2</t>
  </si>
  <si>
    <t>TOMADA LOGICA RJ-45 TIPO KEYSTONE JACK, CAT. 6</t>
  </si>
  <si>
    <t>TERMINAL PARA ELETROCALHA 50 X 50 MM</t>
  </si>
  <si>
    <t>TOMADA HEXAGONAL 2P + T - 10A - 250V (LINHA X OU EQUIVALENTE)</t>
  </si>
  <si>
    <t>TOMADA HEXAGONAL 2P + T - 20A - 250V (LINHA X OU EQUIVALENTE)</t>
  </si>
  <si>
    <t>TOMADA HEXAGONAL 2P + T - 10A - 250V</t>
  </si>
  <si>
    <t>TOMADA HEXAGONAL DUPLA 2P + T - 10A - 250V</t>
  </si>
  <si>
    <t>TOMADA HEXAGONAL 2P + T - 20A - 250V</t>
  </si>
  <si>
    <t>TOMADA TELEFÔNICA RJ-11</t>
  </si>
  <si>
    <t>TOMADA LÓGICA RJ-45 CAT. 6 (LINHA X OU EQUIVALENTE)</t>
  </si>
  <si>
    <t xml:space="preserve">TRANSFORMADOR TRIFASICO 75 KVA 13,8KV - A ÓLEO </t>
  </si>
  <si>
    <t xml:space="preserve">TRANSFORMADOR TRIFASICO 150 KVA 13,8KV - A ÓLEO </t>
  </si>
  <si>
    <t xml:space="preserve">TRANSFORMADOR TRIFASICO 112,5 KVA 13,8KV - A ÓLEO </t>
  </si>
  <si>
    <t xml:space="preserve">TRANSFORMADOR TRIFASICO 225 KVA, 13,8 KV - A ÓLEO </t>
  </si>
  <si>
    <t>TRANSFORMADOR TRIFASICO 300 KVA,13,8 KV - SECO</t>
  </si>
  <si>
    <t>TRANSFORMADOR TRIFASICO 500 KVA, 13,8 KV - SECO</t>
  </si>
  <si>
    <t>TRANSFORMADOR DE CORRENTE RELAÇÃO 200:5 A</t>
  </si>
  <si>
    <t>TRANSFORMADOR DE CORRENTE RELAÇÃO 400:5 A</t>
  </si>
  <si>
    <t>TRANSFORMADOR DE CORRENTE RELAÇÃO 600:5 A</t>
  </si>
  <si>
    <t>TRANSFORMADOR DE CORRENTE RELAÇÃO 800:5 A</t>
  </si>
  <si>
    <t>TRILHO OU SUPORTE PARA BORNE TERMINAL</t>
  </si>
  <si>
    <t>TUBO FERRO GALVANIZADO DIAM. 1.1/2"</t>
  </si>
  <si>
    <t>CARTUCHO PORTA FUSÍVEL 15 kV  100A</t>
  </si>
  <si>
    <t>VERGALHAO ROSCA TOTAL D=1/4"</t>
  </si>
  <si>
    <t>VERGALHAO ROSCA TOTAL D=5/16"</t>
  </si>
  <si>
    <t>INSTALAÇÕES HIDROSSANITÁRIAS</t>
  </si>
  <si>
    <t>L O U Ç A S  E  M E T A I S</t>
  </si>
  <si>
    <t>V A S OS  S A N I T Á R I O S / A C E S S Ó R I O S</t>
  </si>
  <si>
    <t>VASO SANITARIO CONVENCIONAL (1ª LINHA)</t>
  </si>
  <si>
    <t>VASO SANITÁRIO PARA PcD SEM ABERTURA FRONTAL</t>
  </si>
  <si>
    <t>VASO SANITÁRIO COM CAIXA ACOPLADA COM DUPLO ACIONAMENTO - COMPLETO EXCLUSO O ASSENTO</t>
  </si>
  <si>
    <t>VASO SANITÁRIO PARA PcD COM CAIXA ACOPLADA COM DUPLO ACIONAMENTO - COMPLETO EXCLUSO O ASSENTO</t>
  </si>
  <si>
    <t>BACIA TURCA COM TUBO DE LIGAÇÃO</t>
  </si>
  <si>
    <t>ANEL DE VEDAÇÃO PARA VASO SANITÁRIO</t>
  </si>
  <si>
    <t>CAIXA DE DESCARGA EXTERNA</t>
  </si>
  <si>
    <t>TUBO DE DESCIDA PARA CAIXA DE DESCARGA ( LONGO 1 1/4" )</t>
  </si>
  <si>
    <t>TUBO PARA VÁLVULA DE DESCARGA ( CURTO 1.1/4" )</t>
  </si>
  <si>
    <t>TUBO DE LIGACAO PVC CROMADO 1.1/2" / ESPUDE  - (ENTRADA)</t>
  </si>
  <si>
    <t xml:space="preserve">VÁLVULA DE DESCARGA DUPLO ACIONAMENTO COM ACABAMENTO CROMADO </t>
  </si>
  <si>
    <t>VÁLVULA DE DESCARGA DUPLO ACIONAMENTO COM ACABAMENTO CROMADO ANTIVANDALISMO</t>
  </si>
  <si>
    <t>VÁLVULA DE DESCARGA COM SISTEMA PASSANTE EM POLÍMERO - OPÇÃO ECONÔMICA ( ALTA SEGURANÇA)</t>
  </si>
  <si>
    <t xml:space="preserve">VÁLVULA DE DESCARGA PARA PcD COM ACABAMENTO CROMADO ANTIVANDALISMO </t>
  </si>
  <si>
    <t>CONJUNTO DE FIXACAO P/VASO SANITARIO (PAR)</t>
  </si>
  <si>
    <t xml:space="preserve">CJ    </t>
  </si>
  <si>
    <t>ASSENTO EM POLIPROPILENO COM SISTEMA DE FECHAMENTO SUAVE PARA VASO SANITÁRIO</t>
  </si>
  <si>
    <t>PORTA PAPEL HIGIÊNICO EM LOUÇA - EMBUTIR</t>
  </si>
  <si>
    <t>PORTA PAPEL HIGIÊNICO EM METAL/ACABAMENTO CROMADO</t>
  </si>
  <si>
    <t>L A V A T Ó R I O S / A C E S S Ó R I O S</t>
  </si>
  <si>
    <t>LAVATÓRIO MÉDIO COM COLUNA</t>
  </si>
  <si>
    <t>LAVATÓRIO MÉDIO SEM COLUNA</t>
  </si>
  <si>
    <t xml:space="preserve">LAVATÓRIO DE CANTO SEM COLUNA </t>
  </si>
  <si>
    <t>FIXACAO P/LAVATORIO (PAR)</t>
  </si>
  <si>
    <t xml:space="preserve">PAR   </t>
  </si>
  <si>
    <t>LIGAÇÃO FLEXÍVEL METÁLICA DIAM.1/2"(ENGATE)</t>
  </si>
  <si>
    <t>LIGAÇÃO FLEXÍVEL PVC DIAM.1/2" (ENGATE)</t>
  </si>
  <si>
    <t>SIFAO PARA LAVATORIO METALICO DIAM.1"X1.1/2"</t>
  </si>
  <si>
    <t>SIFAO PARA LAVATORIO PVC DIAM.1"X1.1/2"</t>
  </si>
  <si>
    <t>SIFAO FLEXIVEL UNIVERSAL (SANFONADO) EM PVC PARA LAVATORIO</t>
  </si>
  <si>
    <t>SIFAO PARA LAVATORIO PVC CROMADO DIAM.1"X1.1/2"</t>
  </si>
  <si>
    <t>SIFAO FLEXIVEL UNIVERSAL (SANFONADO) EM PVC CROMADO PARA LAVATORIO</t>
  </si>
  <si>
    <t>TORNEIRA DE MESA PARA LAVATÓRIO DIÂMETRO DE 1/2"</t>
  </si>
  <si>
    <t>TORNEIRA DE MESA COM FECHAMENTO AUTOMÁTICO TEMPORIZADO PARA LAVATÓRIO DIÂMETRO DE 1/2"</t>
  </si>
  <si>
    <t>TORNEIRA DE MESA PARA PcD COM FECHAMENTO AUTOMÁTICO TEMPORIZADO PARA LAVATÓRIO DIÂMETRO DE 1/2"</t>
  </si>
  <si>
    <t>VALVULA PARA LAVATORIO OU BEBEDOURO METALICO DIAMETRO 1"</t>
  </si>
  <si>
    <t xml:space="preserve">CUBA DE LOUÇA DE EMBUTIR REDONDA </t>
  </si>
  <si>
    <t xml:space="preserve">CUBA DE LOUCA DE EMBUTIR OVAL MÉDIA </t>
  </si>
  <si>
    <t>M I C T Ó R I O S / A C E S S Ó R I O S</t>
  </si>
  <si>
    <t>MICTORIO DE LOUCA C/SIFAO INTEGRADO</t>
  </si>
  <si>
    <t>KIT DE FIXAÇÃO PARA MICTORIO DE LOUCA (ESPUDE,CONEXÃO ENTR.PARAFUSOS)</t>
  </si>
  <si>
    <t>SIFÃO METÁLICO 1 1/2" X 2" P/MICTÓRIO</t>
  </si>
  <si>
    <t>VÁLVULA PVC DE 1" P/MICTÓRIO TIPO COCHO</t>
  </si>
  <si>
    <t>VÁLVULA DE DESCARGA PARA MICTÓRIO DIÂMETRO 1/2" FECHAMENTO AUTOMÁTICO TEMPORIZADO</t>
  </si>
  <si>
    <t>P I A / A C E S S Ó R I O S</t>
  </si>
  <si>
    <t>PIA MÁRMORE/GRANITO SINTÉTICO 1,20X0,54 M</t>
  </si>
  <si>
    <t>PIA MÁRMORE/GRANITO SINTÉTICO 2,00 X 0,54 M</t>
  </si>
  <si>
    <t>TORNEIRA DE MESA PARA PIA DIÂMETRO DE 1/2" - BICA MÓVEL</t>
  </si>
  <si>
    <t xml:space="preserve">TORNEIRA DE PAREDE PARA PIA OU BEBEDOURO DIÂMETRO DE 1/2" E 3/4" </t>
  </si>
  <si>
    <t>SIFAO PARA PIA 1.1/2" X 2" METAL</t>
  </si>
  <si>
    <t>SIFAO PARA PIA 1.1/2" X 2" PVC</t>
  </si>
  <si>
    <t>SIFAO PARA PIA 1.1/2"X2" PVC CROMADO</t>
  </si>
  <si>
    <t>VALVULA PARA PIA TIPO AMERICANA DIAMETRO 3.1/2" (METALICA)</t>
  </si>
  <si>
    <t>CUBA INOX 56X34X17CM E=0,6MM-AÇO 304 (CUBA Nº2)</t>
  </si>
  <si>
    <t>CUBA INOX 35X40X15CM E=0,6MM-AÇO 304 (CUBA Nº 3)</t>
  </si>
  <si>
    <t>CUBA INOX 46X30X15CM E=0,6MM-AÇO 304 (CUBA Nº 1)</t>
  </si>
  <si>
    <t>CUBA INOX 50X40X20CM E=0,7MM-AÇO 304</t>
  </si>
  <si>
    <t>TANQUE (PANELAO) INOX 60 X 70 X 40 CM CH.18</t>
  </si>
  <si>
    <t>F I L T R O / C H U V E I R O</t>
  </si>
  <si>
    <t>CHUVEIRO ELÉTRICO EM PVC COM BRAÇO METÁLICO</t>
  </si>
  <si>
    <t>CHUVEIRO PVC COM BRACO DE PVC (DUCHA FRIA)</t>
  </si>
  <si>
    <t>CHUVEIRO METÁLICO COM BRAÇO METÁLICO (DUCHA FRIA)</t>
  </si>
  <si>
    <t>CABIDE TIPO GANCHO EM LOUÇA</t>
  </si>
  <si>
    <t>PORTA TOALHA HASTE LONGA EM METAL/ACABAMENTO CROMADO</t>
  </si>
  <si>
    <t>PORTA TOALHA HASTE CURTA EM METAL/ACABAMENTO CROMADO</t>
  </si>
  <si>
    <t>MEIA SABONETEIRA EM LOUÇA DE EMBUTIR</t>
  </si>
  <si>
    <t>SABONETEIRA EM METAL / ACABAMENTO CROMADO</t>
  </si>
  <si>
    <t>FILTRO CENTRAL EM AÇO INOX 304 VAZÃO DE 3.000 L/H</t>
  </si>
  <si>
    <t>T A N Q U E S / T O R N E I R A S  J A R D I N S</t>
  </si>
  <si>
    <t>TANQUE MARMORE/GRANITO SINTÉTICO C/UMA CUBA E 1 BATEDOR</t>
  </si>
  <si>
    <t>TANQUE MARMORE/GRANITO SINTÉTICO C/DUAS CUBAS E 1 BATEDOR</t>
  </si>
  <si>
    <t>TANQUE MARMORE/GRANITO SINTÉTICO  / 1 BATEDOR</t>
  </si>
  <si>
    <t>TANQUE DE LOUÇA COM COLUNA TAMANHO MÉDIO</t>
  </si>
  <si>
    <t>TANQUE DE AÇO INOX - CHAPA 0,7MM</t>
  </si>
  <si>
    <t>TORNEIRA DE PAREDE PARA TANQUE COM AREJADOR DIÂMETRO DE 1/2" E 3/4"</t>
  </si>
  <si>
    <t>TORNEIRA DE JARDIM COM BICO PARA MANGUEIRA DIÂMETRO DE 1/2" E 3/4"</t>
  </si>
  <si>
    <t>SIFÃO METÁLICO PARA TANQUE DE 1 1/4" X 1 1/2"</t>
  </si>
  <si>
    <t>SIFAO PARA TANQUE 1" X 1.1/2" - PVC</t>
  </si>
  <si>
    <t>TUBO DE DESPEJO P/ VÁLVULA (PIA/TANQUE)</t>
  </si>
  <si>
    <t>VÁLVULA PARA TANQUE METÁLICA DIAM. 1" SEM LADRAO</t>
  </si>
  <si>
    <t>TAMPA T-5 ARTICULADA 20X20</t>
  </si>
  <si>
    <t>CAIXA DE ALVENARIA 20x20x25 CM (REVESTIMENTO IMPERMEABILIZADO), FUNDO DE BRITA SEM TAMPA - PARA REGISTRO/TORNEIRA JARDIM</t>
  </si>
  <si>
    <t>R E G I S T R O S</t>
  </si>
  <si>
    <t>REGISTRO GAVETA BRUTO DIAMETRO 1/2"</t>
  </si>
  <si>
    <t>REGISTRO DE GAVETA BRUTO DIAMETRO 3/4"</t>
  </si>
  <si>
    <t>REGISTRO DE GAVETA BRUTO DIAMETRO 1"</t>
  </si>
  <si>
    <t>REGISTRO DE GAVETA BRUTO DIAMETRO 1.1/4"</t>
  </si>
  <si>
    <t>REGISTRO DE GAVETA BRUTO DIAMETRO 1.1/2"</t>
  </si>
  <si>
    <t>REGISTRO DE GAVETA BRUTO DIAMETRO 2"</t>
  </si>
  <si>
    <t>REGISTRO DE GAVETA BRUTO DIAMETRO 2.1/2"</t>
  </si>
  <si>
    <t>REGISTRO DE GAVETA BRUTO DIAMETRO 3"</t>
  </si>
  <si>
    <t>REGISTRO DE GAVETA BRUTO DIAMETRO 4"</t>
  </si>
  <si>
    <t>REGISTRO DE GAVETA C/CANOPLA DIAMETRO 1/2"</t>
  </si>
  <si>
    <t>REGISTRO DE GAVETA C/CANOPLA DIAMETRO 3/4"</t>
  </si>
  <si>
    <t>REGISTRO DE GAVETA C/CANOPLA DIAMETRO 1"</t>
  </si>
  <si>
    <t>REGISTRO DE GAVETA C/CANOPLA DIAMETRO 1.1/4"</t>
  </si>
  <si>
    <t>REGISTRO DE GAVETA C/CANOPLA DIAMETRO 1.1/2"</t>
  </si>
  <si>
    <t>REGISTRO DE PRESSAO C/CANOPLA CROMADO DIAM.1/2"</t>
  </si>
  <si>
    <t>REGISTRO DE PRESSAO C/CANOPLA CROMADA DIAM.3/4"</t>
  </si>
  <si>
    <t>REGISTRO DE ESFERA DIAM.1/2"</t>
  </si>
  <si>
    <t>REGISTRO DE ESFERA DIAMETRO 3/4"</t>
  </si>
  <si>
    <t>REGISTRO DE ESFERA DIAMETRO 1"</t>
  </si>
  <si>
    <t>REGISTRO DE ESFERA DIAMETRO 1.1/4"</t>
  </si>
  <si>
    <t>REGISTRO DE ESFERA DIAMETRO 1.1/2"</t>
  </si>
  <si>
    <t>REGISTRO DE ESFERA DIAMETRO 2"</t>
  </si>
  <si>
    <t>REGISTRO DE ESFERA DIAMETRO 2.1/2"</t>
  </si>
  <si>
    <t>REGISTRO DE ESFERA DIAM.3"</t>
  </si>
  <si>
    <t>REGISTRO DE ESFERA DIAMETRO 4"</t>
  </si>
  <si>
    <t>Á G U A  F R I A</t>
  </si>
  <si>
    <t>T U B O S   DE  P V C   S O L D Á V E I S</t>
  </si>
  <si>
    <t>TUBO SOLDAVEL PVC MARROM DIAM. 20 MM</t>
  </si>
  <si>
    <t>TUBO SOLDAVEL PVC MARROM DIAM. 25 MM</t>
  </si>
  <si>
    <t>TUBO SOLDAVEL PVC MARROM DIAM. 32 MM</t>
  </si>
  <si>
    <t>TUBO SOLDAVEL PVC MARROM DIAM. 40 MM</t>
  </si>
  <si>
    <t>TUBO SOLDAVEL PVC MARROM DIAM. 50 mm</t>
  </si>
  <si>
    <t>TUBO SOLDAVEL PVC MARROM DIAM. 60 MM</t>
  </si>
  <si>
    <t>TUBO SOLDAVEL PVC MARROM DIAM. 75 MM</t>
  </si>
  <si>
    <t>TUBO SOLDAVEL PVC MARROM DIAM. 85 MM</t>
  </si>
  <si>
    <t>TUBO SOLDAVEL PVC MARROM DIAM. 110 MM</t>
  </si>
  <si>
    <t>A D A P T A D O R E S  DE   P V C   S O L D Á V E I S</t>
  </si>
  <si>
    <t>ADAPTADOR PVC SOLDÁVEL LONGO COM FLANGES LIVRES PARA CAIXA D'ÁGUA 25X3/4"</t>
  </si>
  <si>
    <t>ADAPTADOR PVC SOLDÁVEL LONGO COM FLANGES LIVRES PARA CAIXA D'ÁGUA 32X1"</t>
  </si>
  <si>
    <t>ADAPTADOR PVC SOLDÁVEL LONGO COM FLANGES LIVRES PARA CAIXA D'ÁGUA 50X1.1/2</t>
  </si>
  <si>
    <t>ADAPTADOR PVC SOLDÁVEL LONGO COM FLANGES LIVRES PARA CAIXA D'ÁGUA 60X2"</t>
  </si>
  <si>
    <t>ADAPTADOR PVC SOLDÁVEL LONGO COM FLANGES LIVRES PARA CAIXA D'ÁGUA 110 X 4"</t>
  </si>
  <si>
    <t>ADAPTADOR SOLDÁVEL COM FLANGES LIVRES PARA CAIXA D'ÁGUA 25X3/4"</t>
  </si>
  <si>
    <t>ADAPTADOR SOLDÁVEL COM FLANGES LIVRES PARA CAIXA D'ÁGUA 32X1"</t>
  </si>
  <si>
    <t>ADAPTADOR SOLDÁVEL COM FLANGES LIVRES PARA CAIXA D'ÁGUA 40X1.1/4"</t>
  </si>
  <si>
    <t>ADAPTADOR PVC SOLDÁVEL LONGO COM FLANGES LIVRES PARA CAIXA D'ÁGUA 50X1.1/2"</t>
  </si>
  <si>
    <t>ADAPTADOR SOLDÁVEL CURTO COM BOLSA E ROSCA PARA REGISTRO 20X1/2"</t>
  </si>
  <si>
    <t>ADAPTAD.SOLD.CURTO C/BOLSA E ROSCA P/REG.25X3/4"</t>
  </si>
  <si>
    <t>ADAPTAD.SOLD.CURTO C/BOLSA E ROSCA P/REG.32X1"</t>
  </si>
  <si>
    <t>ADAPTAD.SOLD.CURTO C/BOLSA/ROSCA P/REG.40X1 1/4"</t>
  </si>
  <si>
    <t>ADAPTADOR SOLDÁVEL CURTO COM BOLSA E ROSCA PARA REGISTRO 50MMX1.1/2"</t>
  </si>
  <si>
    <t>ADAPTAD.SOLD.CURTO C/BOLSA/ROSCA P/REGIST.60X2"</t>
  </si>
  <si>
    <t>ADAPTADOR SOLDAVEL CURTO C/BR P/REG.75X2.1/2"</t>
  </si>
  <si>
    <t>ADAPTADOR SOLDAVEL CURTO C/ BOLSA E ROSCA PARA REGISTRO 85 X 3"</t>
  </si>
  <si>
    <t>ADAPTADOR SOLDAVEL CURTO COM BOLSA E ROSCA PARA REGISTRO 110 X 4"</t>
  </si>
  <si>
    <t>ADAPTADOR PVC COM JUNTA ELASTICA PARA SIFAO METÁLICO 40MM X 1.1/2"</t>
  </si>
  <si>
    <t>ADAPTADOR PVC P/SIFAO PVC 40 MM X 1.1/4"</t>
  </si>
  <si>
    <t>ADAPTADOR PARA VÁLVULA DE PIA, LAVATÓRIO E TANQUE 40 MM</t>
  </si>
  <si>
    <t>L U V A S  DE  P V C</t>
  </si>
  <si>
    <t>LUVA SOLDAVEL DIAMETRO 20 mm</t>
  </si>
  <si>
    <t>LUVA SOLDAVEL DIAMETRO 25 mm</t>
  </si>
  <si>
    <t>LUVA SOLDAVEL DIAMETRO 32 mm</t>
  </si>
  <si>
    <t>LUVA SOLDAVEL DIAMETRO 40 mm</t>
  </si>
  <si>
    <t>LUVA SOLDAVEL DIAMETRO 50 mm</t>
  </si>
  <si>
    <t>LUVA SOLDAVEL DIAMETRO 60 mm</t>
  </si>
  <si>
    <t>LUVA SOLDAVEL DIAMETRO 75 mm</t>
  </si>
  <si>
    <t>LUVA SOLDAVEL DIAMETRO 85 mm</t>
  </si>
  <si>
    <t>LUVA SOLDAVEL DIAMETRO 110 mm</t>
  </si>
  <si>
    <t>LUVA DE REDUCAO SOLDAVEL DIAMETRO 25 X 20 mm</t>
  </si>
  <si>
    <t>LUVA DE REDUÇÃO SOLDÁVEL COM ROSCA 25X1/2"</t>
  </si>
  <si>
    <t>LUVA DE REDUCAO SOLDAVEL DIAMETRO 32 X 25 mm</t>
  </si>
  <si>
    <t>LUVA SOLDAVEL C/ROSCA DIAMETRO 20 X 1/2"</t>
  </si>
  <si>
    <t>LUVA SOLDAVEL C/ROSCA DIAMETRO 25 X 3/4"</t>
  </si>
  <si>
    <t>LUVA SOLDAVEL C/ROSCA DIAMETRO 32 X 1"</t>
  </si>
  <si>
    <t>LUVA SOLDAVEL C/ROSCA DIAMETRO 40 X 1.1/4"</t>
  </si>
  <si>
    <t>LUVA SOLDAVEL C/ROSCA DIAMETRO 50 X 1.1/2"</t>
  </si>
  <si>
    <t>LUVA DE REDUÇÃO SOLDAVEL COM BUCHA DE LATAO 20 X 1/2" (AZUL)</t>
  </si>
  <si>
    <t>LUVA DE REDUÇÃO SOLDÁVEL COM BUCHA LATAO 25X1/2"</t>
  </si>
  <si>
    <t>LUVA DE REDUÇÃO SOLDAVEL COM BUCHA DE LATAO 25 X 3/4" (AZUL)</t>
  </si>
  <si>
    <t>B U C H A S</t>
  </si>
  <si>
    <t>BUCHA DE REDUÇÃO SOLDAVEL CURTA 25 X 20 MM</t>
  </si>
  <si>
    <t>BUCHA DE REDUCAO SOLD.CURTA 32 X 25 MM</t>
  </si>
  <si>
    <t>BUCHA DE REDUÇÃO SOLDAVEL CURTA 40 X 32 MM</t>
  </si>
  <si>
    <t>BUCHA DE REDUCAO SOLD.CURTO 50 X 40 mm</t>
  </si>
  <si>
    <t>BUCHA DE REDUCAO SOLD. CURTA 60 X 50 mm</t>
  </si>
  <si>
    <t>BUCHA DE REDUCAO SOLDAVEL CURTA 75 X 60 mm</t>
  </si>
  <si>
    <t>BUCHA DE REDUCAO SOLDAVEL CURTA 85 X 75 mm</t>
  </si>
  <si>
    <t>BUCHA DE REDUCAO SOLDAVEL CURTA 110 X 85 mm</t>
  </si>
  <si>
    <t>BUCHA DE REDUÇÃO SOLDAVEL LONGA 32 X 20 MM</t>
  </si>
  <si>
    <t>BUCHA DE REDUCAO SOLD.LONGA 40 X 20 mm</t>
  </si>
  <si>
    <t>BUCHA DE REDUÇÃO SOLDAVEL LONGA 40 X 25 MM</t>
  </si>
  <si>
    <t>BUCHA DE REDUCAO SOLD.LONGA 50 X 20 mm</t>
  </si>
  <si>
    <t>BUCHA DE REDUCAO SOLDAVEL LONGA 50 X 25 mm</t>
  </si>
  <si>
    <t>BUCHA DE REDUCAO SOLDAVEL LONGA 50 X 32 mm</t>
  </si>
  <si>
    <t>BUCHA DE REDUCAO SOLDAVEL LONGA 60 X 25 mm</t>
  </si>
  <si>
    <t>BUCHA DE REDUCAO SOLDAVEL LONGA 60 X 32 mm</t>
  </si>
  <si>
    <t>BUCHA DE REDUCAO SOLDAVEL LONGA 60 X 40 mm</t>
  </si>
  <si>
    <t>BUCHA DE REDUCAO SOLDAVEL LONGA 60 X 50 mm</t>
  </si>
  <si>
    <t>BUCHA DE REDUÇÃO SOLDÁVEL LONGA 75 X 50 MM</t>
  </si>
  <si>
    <t>BUCHA DE REDUÇÃO SOLDÁVEL LONGA 110 X 60 MMM</t>
  </si>
  <si>
    <t>N I P E L S</t>
  </si>
  <si>
    <t>NIPLE COM ROSCA DIAMETRO 1/2"</t>
  </si>
  <si>
    <t>NIPLE COM ROSCA DIAMETRO 3/4"</t>
  </si>
  <si>
    <t>NIPLE COM ROSCA DIAMETRO 1"</t>
  </si>
  <si>
    <t>NIPLE COM ROSCA DIAMETRO 1.1/4"</t>
  </si>
  <si>
    <t>NIPLE COM ROSCA DIAMETRO 1.1/2"</t>
  </si>
  <si>
    <t>NIPLE COM ROSCA DIAMETRO 2"</t>
  </si>
  <si>
    <t>NIPLE COM ROSCA DIAMETRO 2.1/2"</t>
  </si>
  <si>
    <t>NIPLE COM ROSCA DIAMETRO 3"</t>
  </si>
  <si>
    <t>NIPLE COM ROSCA DIAMETRO 4"</t>
  </si>
  <si>
    <t>C A P</t>
  </si>
  <si>
    <t>CAP PVC ROSCAVEL DIAMETRO 1/2" (20 mm)</t>
  </si>
  <si>
    <t>CAP PVC ROSCAVEL DIAMETRO 3/4" (25 mm)</t>
  </si>
  <si>
    <t>CAP PVC ROSCAVEL DIAMETRO 1" (32 mm)</t>
  </si>
  <si>
    <t>CAP PVC ROSCAVEL DIAMETRO 1.1/4" (40 mm)</t>
  </si>
  <si>
    <t>CAP PVC ROSCAVEL DIAMETRO 1.1/2"</t>
  </si>
  <si>
    <t>CAP PVC ROSCAVEL DIAMETRO 2"</t>
  </si>
  <si>
    <t>CAP PVC SOLDAVEL 20 mm</t>
  </si>
  <si>
    <t>CAP SOLD. DIAMETRO 25 mm</t>
  </si>
  <si>
    <t>CAP PVC SOLDAVEL 32 mm</t>
  </si>
  <si>
    <t>CAP PVC SOLDAVEL DIAMETRO 40 mm</t>
  </si>
  <si>
    <t>CAP PVC SOLDAVEL DIAMETRO 50 mm</t>
  </si>
  <si>
    <t>CAP PVC SOLDAVEL DIAMETRO 60 mm</t>
  </si>
  <si>
    <t>CAP PVC SOLDAVEL DIAMETRO 75 mm</t>
  </si>
  <si>
    <t>CAP PVC SOLDAVEL DIAMETRO 85 mm</t>
  </si>
  <si>
    <t>CAP PVC SOLDAVEL DIAMETRO 110 mm</t>
  </si>
  <si>
    <t>J O E L H O S</t>
  </si>
  <si>
    <t>JOELHO 45 GRAUS SOLDAVEL 20 mm</t>
  </si>
  <si>
    <t>JOELHO 45 GRAUS SOLDAVEL 25 mm</t>
  </si>
  <si>
    <t>JOELHO 45 GRAUS SOLDAVEL 32 mm</t>
  </si>
  <si>
    <t>JOELHO 45 GRAUS SOLDAVEL 40 mm</t>
  </si>
  <si>
    <t>JOELHO 45 GRAUS SOLDAVEL 50 mm</t>
  </si>
  <si>
    <t>JOELHO 45 GRAUS SOLDAVEL 60 mm</t>
  </si>
  <si>
    <t>JOELHO 45 GRAUS SOLDAVEL 75 mm</t>
  </si>
  <si>
    <t>JOELHO 45 GRAUS SOLDAVEL 85 mm</t>
  </si>
  <si>
    <t>JOELHO 45 GRAUS SOLDAVEL 110 mm</t>
  </si>
  <si>
    <t>JOELHO 90 GRAUS SOLDAVEL DIAMETRO 20 MM</t>
  </si>
  <si>
    <t>JOELHO 90 GRAUS SOLDAVEL DIAMETRO 25 MM</t>
  </si>
  <si>
    <t>JOELHO 90 GRAUS SOLDAVEL DIAMETRO 32 MM (1")</t>
  </si>
  <si>
    <t>JOELHO 90 GRAUS SOLDAVEL DIAMETRO 40 mm (1.1/4")</t>
  </si>
  <si>
    <t>JOELHO 90 GRAUS SOLDAVEL 50 mm (MARROM)</t>
  </si>
  <si>
    <t>JOELHO 90 GRAUS SOLDAVEL DIAMETRO 60 mm</t>
  </si>
  <si>
    <t>JOELHO 90 GRAUS SOLDAVEL DIAMETRO 75 mm</t>
  </si>
  <si>
    <t>JOELHO 90 GRAUS SOLDAVEL DIAMETRO 85 mm</t>
  </si>
  <si>
    <t>JOELHO 90 GRAUS SOLDAVEL DIAMETRO 110 mm (MARROM)</t>
  </si>
  <si>
    <t>JOELHO DE REDUÇÃO 90 GRAUS SOLDAVEL DIAM. 32 MM X 25 MM</t>
  </si>
  <si>
    <t>JOELHO 90 GRAUS ROSCAVEL 1/2" (MARROM)</t>
  </si>
  <si>
    <t>JOELHO 90 GRAUS ROSCAVEL DIAMETRO 3/4"</t>
  </si>
  <si>
    <t>JOELHO 90 GRAUS ROSCAVEL DIAMETRO 1"</t>
  </si>
  <si>
    <t>JOELHO 90 GRAUS SOLDAVEL/ROSCAVEL DIAM.20 X 1/2"</t>
  </si>
  <si>
    <t>JOELHO 90 GRAUS SOLDAVEL/ROSCAVEL 25 X 3/4"</t>
  </si>
  <si>
    <t>JOELHO DE REDUCAO 90 GRAUS SOLDÁVEL COM BUCHA LATAO 25X1/2"</t>
  </si>
  <si>
    <t>JOELHO DE REDUCAO 90 GRAUS SOLDAVEL/ROSCAVEL DIAM. 25X1/2"</t>
  </si>
  <si>
    <t>JOELHO 90 GRAUS SOLDAVEL COM BUCHA DE LATAO 20 X 1/2"</t>
  </si>
  <si>
    <t>JOELHO 90 GRAUS SOLDAVEL COM BUCHA DE LATAO 25 X 3/4"</t>
  </si>
  <si>
    <t>JOELHO DE REDUCAO 90 GRAUS COM ROSCA E BUCHA LATAO 3/4"X1/2"</t>
  </si>
  <si>
    <t>JOELHO DE REDUCAO 90 GRAUS SOLDÁVEL DIAM. 25 MM X 20 MM</t>
  </si>
  <si>
    <t>JOELHO 90 GRAUS C/ROSCA E BUCHA LATAO DIAM.1/2"</t>
  </si>
  <si>
    <t>JOELHO 90 GRAUS C/ROSCA E BUCHA LATAO DIAM. 3/4</t>
  </si>
  <si>
    <t>T E</t>
  </si>
  <si>
    <t>TE 90 GRAUS SOLDAVEL DIAMETRO 20 mm</t>
  </si>
  <si>
    <t>TE 90 GRAUS SOLDAVEL DIAMETRO 25 mm</t>
  </si>
  <si>
    <t>TE 90 GRAUS SOLDAVEL DIAMETRO 32 mm</t>
  </si>
  <si>
    <t>TE 90 GRAUS SOLDAVEL DIAMETRO 40 mm</t>
  </si>
  <si>
    <t>TE 90 GRAUS SOLDAVEL DIAMETRO 50 mm</t>
  </si>
  <si>
    <t>TE 90 GRAUS SOLDAVEL DIMETRO 60 mm</t>
  </si>
  <si>
    <t>TE 90 GRAUS SOLDAVEL DIAMETRO 75 mm</t>
  </si>
  <si>
    <t>TE 90 GRAUS SOLDAVEL DIAMETRO 85 mm</t>
  </si>
  <si>
    <t>TE 90 GRAUS SOLDAVEL DIAMETRO 110 mm</t>
  </si>
  <si>
    <t>TE DE REDUCAO 90 GRAUS SOLDAVEL 25 X 20 mm</t>
  </si>
  <si>
    <t>TE REDUCAO 90 GRAUS SOLDAVEL 32 X 25 mm</t>
  </si>
  <si>
    <t>TE REDUCAO 90 GRAUS SOLDAVEL 40 X 32 mm</t>
  </si>
  <si>
    <t>TE DE REDUCAO 90 GRAUS SOLDAVEL 50X20 MM</t>
  </si>
  <si>
    <t>TE REDUCAO 90 GRAUS SOLDAVEL 50 X 25 mm</t>
  </si>
  <si>
    <t>TE REDUCAO 90 GRAUS SOLDAVEL 50 X 32 mm</t>
  </si>
  <si>
    <t>TE REDUCAO 90 GRAUS SOLDAVEL 50 X 40 mm</t>
  </si>
  <si>
    <t>TE DE REDUCAO 90 GRAUS SOLDAVEL 75 X 50 MM</t>
  </si>
  <si>
    <t>TE DE REDUCAO 90 GRAUS SOLDAVEL 85 X 60 MM</t>
  </si>
  <si>
    <t>TE DE REDUCAO 90 GRAUS SOLDAVEL 110 X 60 MM</t>
  </si>
  <si>
    <t>TE 90 GRAUS SOLDAVEL COM ROSCA NA BOLSA CENTRAL 32 X 32 X 3/4"</t>
  </si>
  <si>
    <t>TE 90 GRAUS SOLDAVEL COM ROSCA NA BOLSA CENTRAL 25 X 25 X 1/2"</t>
  </si>
  <si>
    <t>TE 90 GR.SOLD.C/ROSCA NA BOLSA CENT.20X20X1/2"</t>
  </si>
  <si>
    <t>TE 90 GRAUS SOLDAVEL COM ROSCA NA BOLSA CENTRAL 25 X 25 X 3/4"</t>
  </si>
  <si>
    <t>TE 90 GRAUS SOLDAVEL COM BUCHA DE LATAO NA BOLSA CENTRAL 20X20X1/2"</t>
  </si>
  <si>
    <t>TE 90 GRAUS SOLDAVEL COM BUCHA DE LATAO NA BOLSA CENTRAL 25X25X3/4"</t>
  </si>
  <si>
    <t>TE 90 GRAUS SOLDAVEL COM BUCHA DE LATÃO NA BOLSA CENTRAL 25 X 25 X 1/2"</t>
  </si>
  <si>
    <t>U N I Ã O</t>
  </si>
  <si>
    <t>UNIAO SOLDAVEL DIAMETRO 20 mm</t>
  </si>
  <si>
    <t>UNIAO SOLDAVEL DIAMETRO 25 mm</t>
  </si>
  <si>
    <t>UNIAO SOLDAVEL DIAMETRO 32 mm</t>
  </si>
  <si>
    <t>UNIAO SOLDAVEL DIAMETRO 40 mm</t>
  </si>
  <si>
    <t>UNIAO SOLDAVEL DIAMETRO 50 mm</t>
  </si>
  <si>
    <t>UNIAO SOLDAVEL DIAMETRO 60 mm</t>
  </si>
  <si>
    <t>UNIAO SOLDAVEL DIAMETRO 75 mm</t>
  </si>
  <si>
    <t>A D E S I V O S:</t>
  </si>
  <si>
    <t>ADESIVO PLASTICO - FRASCO 850 G</t>
  </si>
  <si>
    <t>ADESIVO PLASTICO - BISNAGA 75 G</t>
  </si>
  <si>
    <t>SOLUCAO LIMPADORA 200 CM3</t>
  </si>
  <si>
    <t>SOLUCAO LIMPADORA 1000 CM3</t>
  </si>
  <si>
    <t>C U R V A S</t>
  </si>
  <si>
    <t>CURVA 90 GRAUS SOLDAVEL DIAMETRO 20 mm</t>
  </si>
  <si>
    <t>CURVA 90 GRAUS SOLDAVEL DIAMETRO 25 mm</t>
  </si>
  <si>
    <t>CURVA 90 GRAUS SOLDAVEL DIAMETRO 32 mm</t>
  </si>
  <si>
    <t>CURVA 90 GRAUS SOLDAVEL DIAMETRO 40 mm</t>
  </si>
  <si>
    <t>CURVA 90 GRAUS SOLDAVEL DIAMETRO 50 mm</t>
  </si>
  <si>
    <t>CURVA 90 GRAUS SOLDAVEL DIAMETRO 60 mm</t>
  </si>
  <si>
    <t>CURVA 45 GRAUS SOLDAVEL DIAMETRO 50 MM</t>
  </si>
  <si>
    <t>CURVA 45 GRAUS SOLDAVEL DIAMETRO 75 MM</t>
  </si>
  <si>
    <t>C R U Z E T A S</t>
  </si>
  <si>
    <t>CRUZETA SOLDAVEL DIAMETRO 25 mm</t>
  </si>
  <si>
    <t>CRUZETA SOLDAVEL DIAMETRO 50 mm</t>
  </si>
  <si>
    <t>PLUG</t>
  </si>
  <si>
    <t>PLUG PVC COM ROSCA 1/2"</t>
  </si>
  <si>
    <t>E S G O T O   S A N I T Á R I O</t>
  </si>
  <si>
    <t>BUCHA DE REDUCAO LONGA 50 X 40 MM - (ESGOTO)</t>
  </si>
  <si>
    <t>CAP DIAMETRO 50 MM ESGOTO PRIMARIO</t>
  </si>
  <si>
    <t>CAP DIAMETRO 75 MM ESGOTO PRIMARIO</t>
  </si>
  <si>
    <t>CAP DIAMETRO 100 MM ESGOTO PRIMARIO</t>
  </si>
  <si>
    <t>C O R P O  DE  C A I X A  S I F O N A D A/R A L O</t>
  </si>
  <si>
    <t>CORPO CAIXA SIFONADA DIAM. 100 X 100 X 50</t>
  </si>
  <si>
    <t>CORPO CAIXA SIFONADA DIAM. 100 X 150 X 50</t>
  </si>
  <si>
    <t>CORPO CAIXA SIFONADA DIAM. 150 X 150 X 50</t>
  </si>
  <si>
    <t>CORPO CAIXA SIFONADA DIAM. 150 X 185 X 75</t>
  </si>
  <si>
    <t>CORPO CAIXA SIFONADA DIAM. 250 X 172 X 50</t>
  </si>
  <si>
    <t>CORPO CAIXA SIFONADA DIAM. 250 X 230 X 75</t>
  </si>
  <si>
    <t>CORPO RALO SIFONADO CONICO DIAM. 100 X 40</t>
  </si>
  <si>
    <t>CORPO RALO SECO CONICO DIAM. 100 X 40 MM</t>
  </si>
  <si>
    <t>CORPO RALO SECO CILINDRICO 100 X 40</t>
  </si>
  <si>
    <t>CORPO RALO SIFONADO CILINDRICO 100 X 40</t>
  </si>
  <si>
    <t>CORPO RALO SIFONADO QUADRADO 100 X 53 X 40</t>
  </si>
  <si>
    <t>PROLONGAMENTO PARA CAIXA SIFONADA 100 MM</t>
  </si>
  <si>
    <t>PROLONGAMENTO PARA CAIXA SIFONADA 150 MM</t>
  </si>
  <si>
    <t>PROLONGAMENTO PARA CAIXA SIFONADA 250 MM</t>
  </si>
  <si>
    <t>CURVA 45 GRAUS DIAMETRO 40 MM (ESGOTO)</t>
  </si>
  <si>
    <t>CURVA 45 GRAUS DIAMETRO 100 MM (ESGOTO)</t>
  </si>
  <si>
    <t>CURVA 90 GRAUS CURTA DIAM. 40 MM (ESGOTO)</t>
  </si>
  <si>
    <t>CURVA 90 GRAUS CURTA DIAM. 50 MM (ESGOTO)</t>
  </si>
  <si>
    <t>CURVA 90 GRAUS CURTA DIAM. 75 MM (ESGOTO)</t>
  </si>
  <si>
    <t>CURVA 90 GRAUS CURTA DIAM. 100 MM (ESGOTO)</t>
  </si>
  <si>
    <t>CURVA 90 GRAUS LONGA DIAM. 40 MM (ESGOTO)</t>
  </si>
  <si>
    <t>CURVA 90 GRAUS LONGA DIAM. 50 MM (ESGOTO)</t>
  </si>
  <si>
    <t>CURVA 90 GRAUS LONGA DIAM. 75 MM (ESGOTO)</t>
  </si>
  <si>
    <t>CURVA 90 GRAUS LONGA DIAM. 100 MM (ESGOTO)</t>
  </si>
  <si>
    <t>G R E L H A S</t>
  </si>
  <si>
    <t>GRELHA QUADRADA ACO INOX ROTATIVO DIAM.100 MM</t>
  </si>
  <si>
    <t>GRELHA QUADRADA ACO INOX ROTATIVO DIAM.150 MM</t>
  </si>
  <si>
    <t>GRELHA QUADRADA ACO INOX SIMP. DIAM. 100 MM</t>
  </si>
  <si>
    <t>GRELHA QUADRADA ACO INOX SIMPLES DIAM.150 MM</t>
  </si>
  <si>
    <t>GRELHA QUADRADA BRANCA DIAM. 100 MM</t>
  </si>
  <si>
    <t>GRELHA QUADRADA BRANCA DIAM. 150 MM</t>
  </si>
  <si>
    <t>GRELHA QUADRADA CROMADA DIAM. 150 MM</t>
  </si>
  <si>
    <t>GRELHA QUADRADA CROMADA DIAMETRO 100 MM</t>
  </si>
  <si>
    <t>GRELHA REDONDA ACO INOX ROTATIVA DIAM. 100 MM</t>
  </si>
  <si>
    <t>GRELHA REDONDA ACO INOX ROTATIVA DIAM. 150 MM</t>
  </si>
  <si>
    <t>GRELHA REDONDA ACO INOX SIMPLES DIAM. 100 MM</t>
  </si>
  <si>
    <t>GRELHA REDONDA ACO INOX SIMPLES DIAM. 150 MM</t>
  </si>
  <si>
    <t>GRELHA REDONDA BRANCA DIAM. 100 MM</t>
  </si>
  <si>
    <t>GRELHA REDONDA BRANCA DIAM. 150 MM</t>
  </si>
  <si>
    <t>GRELHA REDONDA CROMADA DIAM.100 MM</t>
  </si>
  <si>
    <t>GRELHA REDONDA CROMADA DIAM.150 MM</t>
  </si>
  <si>
    <t>D I V E R S O S</t>
  </si>
  <si>
    <t>HIDROMETRO DIAM.RAMAL = 25 MM VAZAO =1,5  A 3 M3</t>
  </si>
  <si>
    <t>KIT CAVALETE D=25MM P/HIDRÔMETRO 1,5-3,0-5,0 M3/MURETA/CAIXA</t>
  </si>
  <si>
    <t>BOMBA SUBMERSA VIBRATÓRIA</t>
  </si>
  <si>
    <t>CAIXA DE PASSAGEM 40X40CM SEM TAMPA</t>
  </si>
  <si>
    <t>TAMPA PARA CAIXA PASSAGEM FERRO FUNDIDO T-33 - TRÁFEGO PESADO</t>
  </si>
  <si>
    <t>CAIXA DE AREIA 40X40CM FUNDO DE BRITA COM GRELHA METÁLICA FERRO CHATO PADRÃO GOINFRA</t>
  </si>
  <si>
    <t>CAIXA DE PASSAGEM 60 X 60 CM SEM TAMPA</t>
  </si>
  <si>
    <t>TAMPA EM CONCRETO ARMADO 25 MPA E=5CM PARA A CAIXA DE PASSAGEM 60X60CM</t>
  </si>
  <si>
    <t>CAIXA DE AREIA 60X60CM FUNDO DE BRITA SEM TAMPA</t>
  </si>
  <si>
    <t>CAIXA DE AREIA 60X60CM FUNDO DE BRITA COM GRELHA METÁLICA FERRO CHATO PADRÃO GOINFRA</t>
  </si>
  <si>
    <t xml:space="preserve">CAIXA DE INSPEÇÃO - TAMPA EM CONCRETO ARMADO 25 MPA E=5CM </t>
  </si>
  <si>
    <t>CAIXA DE INSPEÇÃO - LASTRO DE CONCRETO (COM ADIÇÃO DE IMPERMEABILIZANTE) 20 MPA E=5CM PARA O FUNDO</t>
  </si>
  <si>
    <t>CAIXA DE INSPEÇÃO - ALVENARIA DE 1/2 VEZ COM REVESTIMENTO INTERNO EM REBOCO PAULISTA A-14 (COM ADIÇÃO DE IMPERMEABILIZANTE)</t>
  </si>
  <si>
    <t>CAIXA DE INSPEÇÃO - ALVENARIA DE 1 VEZ COM REVESTIMENTO INTERNO EM REBOCO PAULISTA A-14 (COM ADIÇÃO DE IMPERMEABILIZANTE)</t>
  </si>
  <si>
    <t xml:space="preserve">CAIXA DE INSPEÇÃO - ESCAVAÇÃO MANUAL / REATERRO/ APILOAMENTO DO FUNDO </t>
  </si>
  <si>
    <t>CAIXA DE AREIA - LASTRO DE BRITA PARA O FUNDO</t>
  </si>
  <si>
    <t>CAIXA DE AREIA - TAMPA EM GRELHA DE CONCRETO ARMADO 25MPA E=5CM</t>
  </si>
  <si>
    <t>TAMPA  PARA CAIXA PASSAGEM FERRO FUNDIDO T-33 - TRÁFEGO LEVE</t>
  </si>
  <si>
    <t xml:space="preserve">TAMPÃO DE FERRO FUNDIDO PARA POÇO DE VISITA T-60 SIMPLES PARA TRÁFEGO LEVE  </t>
  </si>
  <si>
    <t xml:space="preserve">TAMPÃO DE FERRO FUNDIDO PARA POÇO DE VISITA T-60 SIMPLES PARA TRÁFEGO PESADO </t>
  </si>
  <si>
    <t>CAIXA DE GORDURA E INSPEÇÃO EM PVC/ABS 19 LITROS COM TAMPA E PORTA TAMPA E CESTO DE LIMPEZA REMOVÍVEL</t>
  </si>
  <si>
    <t>CAIXA DE GORDURA 50 l. CONCRETO PADRÃO GOINFRA IMPERMEABILIZADA</t>
  </si>
  <si>
    <t>CAIXA DE GORDURA 100 L CONCRETO PADRÃO GOINFRA IMPERMEABILIZADA</t>
  </si>
  <si>
    <t>CAIXA DE GORDURA 120 L. CONCRETO PADRÃO GOINFRA IMPERMEABILIZADA</t>
  </si>
  <si>
    <t>CAIXA DE GORDURA 600 L. CONCRETO PADRÃO GOINFRA IMPERMEABILIZADA</t>
  </si>
  <si>
    <t>CAIXA DAGUA POLIETILENO 500 LTS.C/TAMPA</t>
  </si>
  <si>
    <t>CAIXA DAGUA POLIETILENO 1000 LTS. C/TAMPA</t>
  </si>
  <si>
    <t xml:space="preserve">FOSSA SEPTICA 1500 LITROS COM IMPERMEABILIZAÇÃO </t>
  </si>
  <si>
    <t>FOSSA SEPTICA 2500 LITROS COM IMPERMEABILIZAÇÃO</t>
  </si>
  <si>
    <t>FOSSA SEPTICA 3000 LITROS COM IMPERMEABILIZAÇÃO</t>
  </si>
  <si>
    <t>FOSSA SEPTICA 4500 LITROS COM IMPERMEABILIZAÇÃO</t>
  </si>
  <si>
    <t>FOSSA SEPTICA 8700 LITROS COM IMPERMEABILIZAÇÃO</t>
  </si>
  <si>
    <t>SUMIDOURO COM DIÂMETRO=1,60M E  PROFUNDIDADE=4,50 M</t>
  </si>
  <si>
    <t>RESERVATÓRIO METALICO TIPO TAÇA EM AÇO PATINÁVEL - V=5M3-COLUNA SECA H=6M+FUNDAÇÃO+LOGOTIPO</t>
  </si>
  <si>
    <t>RESERVATÓRIO METALICO TIPO TAÇA EM AÇO PATINÁVEL - V=10M3-COLUNA SECA H=6M+FUNDAÇÃO+LOGOTIPO</t>
  </si>
  <si>
    <t>RESERVATÓRIO METALICO TIPO TAÇA EM AÇO PATINÁVEL - V=15M3-COLUNA SECA H=6M+FUNDAÇÃO+LOGOTIPO</t>
  </si>
  <si>
    <t>RESERVATÓRIO METALICO TIPO TAÇA EM AÇO PATINÁVEL - V=20M3-COLUNA SECA H=6M+FUNDAÇÃO+LOGOTIPO</t>
  </si>
  <si>
    <t>TERMINAL DE VENTILACAO DIAMETRO 50 MM (ESGOTO)</t>
  </si>
  <si>
    <t>TORNEIRA BOIA DIAMETRO (3/4") 20 MM</t>
  </si>
  <si>
    <t>TORNEIRA BOIA DIAMETRO 1" (25 MM )</t>
  </si>
  <si>
    <t>TORNEIRA BOIA DIAMETRO 1.1/4" - 32 MM</t>
  </si>
  <si>
    <t>TORNEIRA BOIA DIAMETRO 1.1/2" (40 MM)</t>
  </si>
  <si>
    <t>TORNEIRA BOIA DIAMETRO 2" (50 MM)</t>
  </si>
  <si>
    <t xml:space="preserve">CHAVE DE BOIA AUTOMÁTICA - 15A/250V </t>
  </si>
  <si>
    <t>JOELHO 45 GRAUS DIAMETRO 40 MM (ESGOTO)</t>
  </si>
  <si>
    <t>JOELHO 45 GRAUS DIAMETRO 50 MM (ESGOTO)</t>
  </si>
  <si>
    <t>JOELHO 45 GRAUS DIAMETRO 75 MM (ESGOTO)</t>
  </si>
  <si>
    <t>JOELHO 45 GRAUS DIAMETRO 100 MM (ESGOTO)</t>
  </si>
  <si>
    <t>JOELHO 90 GRAUS C/ANEL 40 MM</t>
  </si>
  <si>
    <t>JOELHO 90 GRAUS C/ANEL 50 MM</t>
  </si>
  <si>
    <t>JOELHO 90 GRAUS DIAMETRO 40 MM (ESGOTO)</t>
  </si>
  <si>
    <t>JOELHO 90 GRAUS DIAMETRO 50 MM (ESGOTO)</t>
  </si>
  <si>
    <t>JOELHO 90 GRAUS DIAMETRO 75 MM (ESGOTO)</t>
  </si>
  <si>
    <t>JOELHO 90 GRAUS DIAMETRO 100 MM (ESGOTO)</t>
  </si>
  <si>
    <t>JOELHO 90 GRAUS C/VISITA DIAM.100 X 50 MM</t>
  </si>
  <si>
    <t>J U N Ç Õ E S</t>
  </si>
  <si>
    <t>JUNCAO 45 GRAUS DIAMETRO 40 MM (ESGOTO)</t>
  </si>
  <si>
    <t>JUNCAO INVERTIDA DIAMETRO 75 X 50 MM (ESGOTO)</t>
  </si>
  <si>
    <t>JUNCAO SIMPLES DIAMETRO 50 X 50 MM (ESGOTO)</t>
  </si>
  <si>
    <t>JUNCAO SIMPLES DIAM. 75 X 50 MM (ESGOTO)</t>
  </si>
  <si>
    <t>JUNCAO SIMPLES DIAMETRO 75 X 75 MM (ESGOTO)</t>
  </si>
  <si>
    <t>JUNCAO SIMPLES DIAM. 100 X 50 MM (ESGOTO)</t>
  </si>
  <si>
    <t>JUNCAO SIMPLES DIAMETRO 100 X 75 MM (ESGOTO)</t>
  </si>
  <si>
    <t>JUNCAO SIMPLES DIAM. 100 X 100 MM (ESGOTO)</t>
  </si>
  <si>
    <t>JUNÇÃO DUPLA DIAMETRO 75 MM</t>
  </si>
  <si>
    <t>L U V A S</t>
  </si>
  <si>
    <t>LUVA SIMPLES DIAMETRO 40 MM - (ESGOTO)</t>
  </si>
  <si>
    <t>LUVA SIMPLES DIAMETRO 50 MM - (ESGOTO)</t>
  </si>
  <si>
    <t>LUVA SIMPLES DIAMETRO 75 MM - (ESGOTO)</t>
  </si>
  <si>
    <t>LUVA SIMPLES DIAMETRO 100 mm - (ESGOTO)</t>
  </si>
  <si>
    <t>P O R T A S / G R E L H A S</t>
  </si>
  <si>
    <t>PORTA GRELHA QUADRADA BRANCO DIAM. 150 MM</t>
  </si>
  <si>
    <t>PORTA GRELHA QUADRADO CROMADO DIAM.150 MM</t>
  </si>
  <si>
    <t>PORTA GRELHA QUADRADO PARA GRELHA QUADRADA DIAM. 100 MM</t>
  </si>
  <si>
    <t>PORTA GRELHA QUADRADA PARA GRELHA REDONDA BRANCA 100 MM (ESGOTO)</t>
  </si>
  <si>
    <t>PORTA GRELHA QUADRADA PARA GRELHA REDONDA CROMADA 100 MM (ESGOTO)</t>
  </si>
  <si>
    <t>PORTA GRELHA REDONDO BRANCO DIAM. 100 MM</t>
  </si>
  <si>
    <t>PORTA GRELHA REDONDO BRANCO DIAM. 150 MM</t>
  </si>
  <si>
    <t>PORTA GRELHA REDONDO CROMADO DIAMETRO 150 MM</t>
  </si>
  <si>
    <t>R E D U Ç Õ E S</t>
  </si>
  <si>
    <t>REDUCAO EXCENTRICA 75 X 50 MM (ESGOTO)</t>
  </si>
  <si>
    <t>REDUCAO EXCENTRICA 100 X 75 MM (ESGOTO)</t>
  </si>
  <si>
    <t>REDUCAO EXCENTRICA 100 X 50 MM (ESGOTO)</t>
  </si>
  <si>
    <t>T A M P A S</t>
  </si>
  <si>
    <t>TAMPA CEGA QUADRADA BRANCA DIAM. 150 MM</t>
  </si>
  <si>
    <t>TAMPA CEGA REDONDA BRANCA DIAM. 100 MM</t>
  </si>
  <si>
    <t>TAMPA CEGA REDONDA BRANCA  250 MM</t>
  </si>
  <si>
    <t>TAMPA CEGA REDONDA ALUMINIO 250 MM</t>
  </si>
  <si>
    <t>TE 90 GRAUS DIAMETRO 40 MM - ESGOTO</t>
  </si>
  <si>
    <t>TE DE INSPECAO DIAMETRO 100 X 75 MM (ESGOTO)</t>
  </si>
  <si>
    <t>TE SANITARIO DIAMETRO 50 X 50 MM (ESGOTO)</t>
  </si>
  <si>
    <t>TE SANITARIO DIAMETRO 75 X 50 MM (ESGOTO)</t>
  </si>
  <si>
    <t>TE SANITARIO DIAMETRO 75 X 75 MM (ESGOTO)</t>
  </si>
  <si>
    <t>TE SANITARIO DIAMETRO 100 X 50 MM (ESGOTO)</t>
  </si>
  <si>
    <t>TE SANITARIO DIAMETRO 100 X 75 MM (ESGOTO)</t>
  </si>
  <si>
    <t>TE SANITARIO DIAMETRO 100 X 100 MM (ESGOTO)</t>
  </si>
  <si>
    <t>T U B O S</t>
  </si>
  <si>
    <t>TUBO SOLDAVEL PARA ESGOTO DIAMETRO 40 MM</t>
  </si>
  <si>
    <t>TUBO SOLDAVEL PARA ESGOTO DIAMETRO 50 MM</t>
  </si>
  <si>
    <t>TUBO SOLDAVEL PARA ESGOTO DIAMETRO 75 MM</t>
  </si>
  <si>
    <t>TUBO SOLDAVEL PARA ESGOTO DIAMETRO 100 MM</t>
  </si>
  <si>
    <t>TUBO LEVE PVC RIGIDO DIAMETRO 150 MM</t>
  </si>
  <si>
    <t>TUBO LEVE PVC RIGIDO DIAMETRO 200 MM</t>
  </si>
  <si>
    <t>TUBO LEVE PVC RIGIDO DIAMETRO 300 MM</t>
  </si>
  <si>
    <t>TUBO LEVE PVC RIGIDO DIAMETRO 250 MM</t>
  </si>
  <si>
    <t>TUBO DE CONCRETO SIMPLES DIAMETRO 400 MM - PS1=16 KN/M ( ÁGUAS PLUVIAIS) - CAVA 65X100CM</t>
  </si>
  <si>
    <t>TUBO DE CONCRETO SIMPLES DIAMETRO 600 MM - PS1=24 KN/M ( ÁGUAS PLUVIAIS) - CAVA 95X120CM</t>
  </si>
  <si>
    <t>TUBO DE CONCRETO SIMPLES DIAMETRO 500 MM - PS1=20 KN/M ( ÁGUAS PLUVIAIS) - CAVA 80X110CM</t>
  </si>
  <si>
    <t>TUBO RÍGIDO CORRUGADO PARA DRENAGEM DIAMETRO 150 MM</t>
  </si>
  <si>
    <t>TUBO RÍGIDO CORRUGADO PARA DRENAGEM DIAMETRO 100 MM</t>
  </si>
  <si>
    <t>TUBO FERRO GALVANIZADO 1/2"</t>
  </si>
  <si>
    <t>TUBO FERRO GALVANIZADO 3/4"</t>
  </si>
  <si>
    <t>TUBO FERRO GALVANIZADO 1"</t>
  </si>
  <si>
    <t>TUBO FERRO GALVANIZADO 1.1/4"</t>
  </si>
  <si>
    <t>TUBO FERRO GALVANIZADO 1.1/2"</t>
  </si>
  <si>
    <t>TUBO FERRO GALVANIZADO 2"</t>
  </si>
  <si>
    <t>TUBO FERRO GALVANIZADO 2.1/2"</t>
  </si>
  <si>
    <t>TUBO FERRO GALVANIZADO 3"</t>
  </si>
  <si>
    <t>TUBO FERRO GALVANIZADO 4"</t>
  </si>
  <si>
    <t>I N C Ê N D I O S</t>
  </si>
  <si>
    <t>EXTINTOR CO2 (6 KG) - CAPACIDADE EXTINTORA 5 BC</t>
  </si>
  <si>
    <t>EXTINTOR PO QUIMICO SECO (6 KG) - CAPACIDADE EXTINTORA 20 BC</t>
  </si>
  <si>
    <t>EXTINTOR AGUA PRESSURIZADA (10 LITROS) - CAPACIDADE EXTINTORA 2A</t>
  </si>
  <si>
    <t>EXTINTOR MULTI USO EM PO A B C (6 KG) - CAPACIDADE EXTINTORA 3A 20BC</t>
  </si>
  <si>
    <t>CAIXA DE INCÊNDIO METÁLICA COM SUPORTE PARA MANGUEIRA, TAMPA E MURETA 17X45X75 CM COM PINTURA</t>
  </si>
  <si>
    <t>CAIXA DE INCÊNDIO METÁLICA COM SUPORTE PARA MANGUEIRA, TAMPA E MURETA 17X60X90 CM C/PINTURA</t>
  </si>
  <si>
    <t>CAIXA DE PASSEIO C/TAMPA DE FERRO FUNDIDO 40X60 CM P/INCÊNDIO</t>
  </si>
  <si>
    <t>MANGUEIRA DE INCÊNDIO DI=38 MM TIPO 2 COMP. = 15 M</t>
  </si>
  <si>
    <t>MANGUEIRA DE INCENDIO DI=38 mm TIPO 2 COMP. 20M</t>
  </si>
  <si>
    <t>MANGUEIRA DE INCENDIO DI=38 mm TIPO 2 COMP. 30 M</t>
  </si>
  <si>
    <t>ESGUICHO REGULÁVEL 1.1/2"</t>
  </si>
  <si>
    <t>ADAPTADOR P/ENGATE STORZ 2.1/2" X 1.1/2"</t>
  </si>
  <si>
    <t>REGISTRO GLOBO ANGULAR 2.1/2"</t>
  </si>
  <si>
    <t>TAMPÃO CEGO COM CORRENTE 2.1/2"</t>
  </si>
  <si>
    <t>TANQUE DE PRESSÃO DE 10 L</t>
  </si>
  <si>
    <t>PRESSOSTATO 50 A 80 PSI</t>
  </si>
  <si>
    <t>MANOMETRO - 0 A 10 KG/CM2</t>
  </si>
  <si>
    <t>SIRENE AUDIOVISUAL</t>
  </si>
  <si>
    <t>SPRINKLER PENDENTE 60º C ,COR LIQUIDO VERMELHO</t>
  </si>
  <si>
    <t>NIPLE DUPLO FERRO GALVANIZADO 1"</t>
  </si>
  <si>
    <t>NIPLE DUPLO FERRO GALVANIZADO 2.1/2"</t>
  </si>
  <si>
    <t>NIPLE DUPLO FERRO GALVANIZADO 3"</t>
  </si>
  <si>
    <t>NIPLE DUPLO FERRO GALVANIZADO 3" X 2 1/2"</t>
  </si>
  <si>
    <t>TE DE FERRO GALVANIZADO 90º X 1"</t>
  </si>
  <si>
    <t>TE DE FERRO GALVANIZADO 90º X 1 1/2" X 1"</t>
  </si>
  <si>
    <t>TÊ DE FERRO GALVANIZADO 90º X 2 1/2"</t>
  </si>
  <si>
    <t>TE DE FERRO GALVANIZADO 90º X 3" X 3"</t>
  </si>
  <si>
    <t>TE DE FERRO GALVANIZADO 4" X 3"</t>
  </si>
  <si>
    <t>COTOVELO FERRO GALVANIZADO 90º X 1"</t>
  </si>
  <si>
    <t>COTOVELO DE FERRO GALVANIZADO 90º X 2 1/2"</t>
  </si>
  <si>
    <t>COTOVELO FERRO GALVANIZADO 90º X 3"</t>
  </si>
  <si>
    <t>COTOVELO FERRO GALVANIZADO 45º X 2.1/2"</t>
  </si>
  <si>
    <t>COTOVELO FERRO GALVANIZADO 45º X 3"</t>
  </si>
  <si>
    <t>BUCHA DE FERRO GALVANIZADO 1.1/2" X 1"</t>
  </si>
  <si>
    <t>BUCHA FERRO GALVANIZADO 3" X 2.1/2"</t>
  </si>
  <si>
    <t>UNIÃO COM ASSENTO CÔNICO DE BRONZE 3"</t>
  </si>
  <si>
    <t>LUVA DE FERRO GALVANIZADO 3" X 2.1/2"</t>
  </si>
  <si>
    <t>VALVULA DE RETENÇÃO HORIZONTAL 1"</t>
  </si>
  <si>
    <t>VÁLVULA DE RETENÇÃO HORIZONTAL 2.1/2"</t>
  </si>
  <si>
    <t>VÁLVULA DE RETENÇÃO HORIZONTAL 3"</t>
  </si>
  <si>
    <t>VÁLVULA DE RETENÇÃO VERTICAL 2.1/2"</t>
  </si>
  <si>
    <t>VALVULA DE RETENÇÃO VERTICAL 1"</t>
  </si>
  <si>
    <t>VÁLVULA DE RETENÇÃO VERTICAL 3"</t>
  </si>
  <si>
    <t>CHAVE DE FLUXO 3/4"</t>
  </si>
  <si>
    <t>CHAVE DE FLUXO 1"</t>
  </si>
  <si>
    <t>INSTALAÇÕES ESPECIAIS</t>
  </si>
  <si>
    <t>G Á S</t>
  </si>
  <si>
    <t>CENTRAL DE GÁS PADRÃO GOINFRA/2019 COMPLETA, EXCLUSO AS INSTALAÇÕES MECÂNICAS (1+1 CILINDRO P-45)</t>
  </si>
  <si>
    <t>CENTRAL DE GÁS PADRÃO GOINFRA/2019 COMPLETA, EXCLUSO AS INSTALAÇÕES MECÂNICAS (2+2 CILINDRO P-45)</t>
  </si>
  <si>
    <t>LIMITADOR DE PRESSÃO PRIMEIRO ESTÁGIO,COM MANÔMETRO,PRESSÃO DE ENTRADA 2 A 18 BAR E PRESSÃO DE SAÍDA 1,5 BAR, CONEXÕES DE ENTRADA E SAÍDA 1/2" NPT</t>
  </si>
  <si>
    <t>REGULADOR DE PRESSÃO PRIMEIRO ESTÁGIO, 8 KG/H, REGULÁVEL COM MANÔMETRO,PRESSÃO DE ENTRADA 2 A 18 BAR E PRESSÃO DE SAÍDA 0,5 A 2 BAR, CONEXÕES DE ENTRADA E SAÍDA 1/4" NPT</t>
  </si>
  <si>
    <t>TUBO DE AÇO GALVANIZADO 3/4" SCHEDULE 40, ROSCA NPT - NBR 5590</t>
  </si>
  <si>
    <t>COTOVELO 90º FERRO MALEÁVEL GALVANIZADO 3/4" CLASSE 150 ROSCA NPT NBR 6925</t>
  </si>
  <si>
    <t xml:space="preserve">TE DE FERRO MALEÁVEL GALVANIZADO 3/4" CLASSE 150 ROSCA NPT NBR 6925 </t>
  </si>
  <si>
    <t>LUVA REDUÇÃO DE FERRO MALEÁVEL GALVANIZADO 3/4" X 1/2", CLASSE 150, ROSCA NPT - NBR 6925</t>
  </si>
  <si>
    <t>LUVA DE FERRO MALEÁVEL GALVANIZADO 3/4", CLASSE 150, ROSCA NPT - NBR 6925</t>
  </si>
  <si>
    <t>UNIÃO DE FERRO MALEÁVEL GALVANIZADO 3/4", ASSENTO BRONZE , CLASSE 150, ROSCA NPT - NBR 6925</t>
  </si>
  <si>
    <t>VÁLVULA DE ESFERA TRIPARTIDA 3/4", PASSAGEM PLENA, ROSCA NPT, CLASSE 300 - NORMA ASME B16.34</t>
  </si>
  <si>
    <t>REGISTRO ESFERA EM LATÃO PARA GÁS ROSCA 1/2" NPT MACHO MONOBLOCO ANGULAR</t>
  </si>
  <si>
    <t>VÁLVULA DE RETENÇÃO EM LATÃO 7/16" NS (I) X 1/2" NPT (E)</t>
  </si>
  <si>
    <t>NIPLE DUPLO DE FERRO MALEÁVEL GALVANIZADO 3/4" CLASSE 300 ROSCA NPT - NBR 6925</t>
  </si>
  <si>
    <t xml:space="preserve">NIPLE DE REDUÇÃO DE LATÃO MACHO/MACHO ROSCA NPT DE 1/2" X 1/4" </t>
  </si>
  <si>
    <t>TAMPÃO DE FERRO MALEÁVEL GALVANIZADO 3/4", CLASSE 150 ROSCA NPT NBR 6925</t>
  </si>
  <si>
    <t>CHICOTE "PIGTAIL" FLEXÍVEL PARA P-45 DE MANGUEIRA NITRÍLICA COM COMPRIMENTO DE 500 MM E ROSCA DAS CONEXÕES DE 7/8" R.E. X 7/16"NS OU M20 X 7/16" NS - NBR 13419</t>
  </si>
  <si>
    <t>SUPORTE "L" , EM FERRO CHATO 1/8" X 1" PINTADO (42CM) PARA TUBO DE AÇO GALVANIZADO 3/4" -  INCLUSO ABRAÇADEIRA TIPO "U" 3/4"/PARAFUSOS/PORCAS/ARRUELAS, BEM COMO A FIXAÇÃO NA PAREDE COM BUCHAS / PARAFUSOS</t>
  </si>
  <si>
    <t>PLACA DE SINALIZAÇÃO EM ALUMÍNIO 35 X 25 CM - "PERIGO - GÁS INFLAMÁVEL - PROIBIDO FUMAR"</t>
  </si>
  <si>
    <t>ALVENARIAS E DIVISÓRIAS</t>
  </si>
  <si>
    <t>ALVENARIA DE TIJOLO COMUM 1/4 VEZ - ARG. (1CI : 2CH : 8ARML)</t>
  </si>
  <si>
    <t>ALVENARIA DE TIJOLO COMUM 1/2 VEZ - ARG. (1CI : 2CH : 8ARML)</t>
  </si>
  <si>
    <t>ALVENARIA DE TIJOLO COMUM 1/2 VEZ EM CRIVO - ARG. (1CI : 2CH : 8ARML)</t>
  </si>
  <si>
    <t>ALVENARIA DE TIJOLO FURADO 1/2 VEZ 11,5 X 19 X 19 - ARG. ( 1 CALH:4ARML + 100 KG DE CI/M3)</t>
  </si>
  <si>
    <t>ALVENARIA DE TIJOLO FURADO 1/2 VEZ 14X29X9 - 6 FUROS -  ARG. (1CALH:4ARML+100KG DE CI/M3)</t>
  </si>
  <si>
    <t>ALVENARIA DE TIJOLO FURADO 1/2 VEZ - 9 x 19 x 19 - ARG. (1CALH:4ARML+100KG DE CI/M3)</t>
  </si>
  <si>
    <t>ALVENARIA DE TIJOLO FURADO 1 VEZ -  ARG. (1CALH:4ARML+100KG DE CI/M3)</t>
  </si>
  <si>
    <t>ALVENARIA DE TIJOLO COMUM 1 VEZ - ARG. (1CI : 2CH : 8ARML)</t>
  </si>
  <si>
    <t>CUNHAMENTO/ALVENARIAS COM TIJOLO COMUM</t>
  </si>
  <si>
    <t>CUNHAMENTO EM ALVENARIA COM CUNHA DE CONCRETO</t>
  </si>
  <si>
    <t>DIVISORIA DE MARMORE</t>
  </si>
  <si>
    <t>DIVISORIA DE GRANITINA</t>
  </si>
  <si>
    <t>DIVISORIA DE ARDOSIA POLIDA 3 CM</t>
  </si>
  <si>
    <t>DIVISORIA DE GRANITO POLIDO</t>
  </si>
  <si>
    <t>DIVISORIA PAINEL CEGO, RODAPÉ SIMPLES E PERFIL EM ALUMÍNIO</t>
  </si>
  <si>
    <t>DIVISÓRIA PAINEL CEGO, RODAPE SIMPLES E PERFIL EM AÇO PINTADO</t>
  </si>
  <si>
    <t>FERRAGENS PARA PORTA DIVISORIA PERFIL ALUMINIO</t>
  </si>
  <si>
    <t>FERRAGENS PARA PORTA DIVISORIA PERFIL AÇO PINTADO</t>
  </si>
  <si>
    <t>DIVISÓRIA PAINEL/VIDRO/PAINEL, RODAPÉ SIMPLES E PERFIL EM ALUMINIO</t>
  </si>
  <si>
    <t>DIVISÓRIA PAINEL/VIDRO/PAINEL, RODAPÉ SIMPLES E PERFIL EM AÇO PINTADO</t>
  </si>
  <si>
    <t>ELEMENTO VAZADO DE CONCRETO</t>
  </si>
  <si>
    <t>ELEMENTO VAZADO CERAMICO (6 x 18 x 18)</t>
  </si>
  <si>
    <t>ALVENARIA DE TIJOLO DE VIDRO (20 X 20 X 10) ARMADA - PAINEL PLANO EXTERNO, OU CURVO INTERNO E EXTERNO, OU COM ÁREA &gt; 13,00 M2 - ARG. (1CI : 3ARML)</t>
  </si>
  <si>
    <t>ALVENARIA DE TIJOLO DE VIDRO (20 x 20 x10) - PAINEL PLANO, INTERNO E COM ÁREA &lt;= 13,00 M2 - ARG. (1CI : 3ARML)</t>
  </si>
  <si>
    <t>ALVENARIA DE TIJOLO LAMINADO 1/2 VEZ  - ARG. (1CI : 1CH : 5ARML)</t>
  </si>
  <si>
    <t>ALVENARIA DE TIJOLO LAMINADO 1 VEZ - ARG. (1CI : 1CH : 6ARML)</t>
  </si>
  <si>
    <t>ALVENARIA DE TIJOLO LAMINADO 1/4 VEZ - ARG. (1CI : 1CH : 5ARML)</t>
  </si>
  <si>
    <t>ALVENARIA DE TIJOLO LAMINADO 1/2 VEZ EM CRIVO - ARG. (1CI : 1CH : 5ARML)</t>
  </si>
  <si>
    <t>ALVENARIA DE TIJOLO LAMINADO 1/2 VEZ COM DETALHES - ARG. (1CI : 1CH : 5ARML)</t>
  </si>
  <si>
    <t>ALVENARIA AUTO-PORTANTE</t>
  </si>
  <si>
    <t>CORTINA CANALETA CONCRETO 9X19X19 PARA SER CHEIA CONCRETO ARMADO (0,0302M3/M2) - EXCLUSO O CONCRETO</t>
  </si>
  <si>
    <t>CORTINA CANALETA CONCRETO 14X19X19 PARA SER CHEIA CONCRETO ARMADO (0,0568M3/M2) - EXCLUSO O CONCRETO</t>
  </si>
  <si>
    <t>CORTINA CANALETA CONCRETO 19X19X19 PARA SER CHEIA CONCRETO ARMADO (0,0947M3/M2) - EXCLUSO O CONCRETO</t>
  </si>
  <si>
    <t>IMPERMEABILIZAÇÃO</t>
  </si>
  <si>
    <t>REGULARIZAÇÃO (1:3) E=2 CM</t>
  </si>
  <si>
    <t>MANTA AUTOPROTEGIDA  ARDOSIADA  TIPO III - B</t>
  </si>
  <si>
    <t>MANTA AUTOPROTEGIDA ALUMINIO TIPO III - B</t>
  </si>
  <si>
    <t>MANTA ASFÁLTICA TIPO III - B ( 3 MM)</t>
  </si>
  <si>
    <t>MANTA ASFALTICA TIPO III - B (4MM)</t>
  </si>
  <si>
    <t>PROTECAO MECANICA C/TELA GALVANIZADA</t>
  </si>
  <si>
    <t>PROTECAO MECANICA (1:3) E=2 CM</t>
  </si>
  <si>
    <t>IMPERMEABILIZACAO - ARGAMASSA SINTÉTICA SEMI-FLEXIVEL</t>
  </si>
  <si>
    <t>IMPERMEABILIZACAO-C/CIMENTO CRISTALIZANTE 3 DEMAOS</t>
  </si>
  <si>
    <t>MASTIQUE A BASE DE POLIURETANO COM PRÉVIO PREPARO E TRATAMENTO DA SUPERFÍCIE</t>
  </si>
  <si>
    <t xml:space="preserve">CM3   </t>
  </si>
  <si>
    <t>IMPERMEABILIZAÇÃO FLEXÍVEL INCLUSIVE BASE (TRANSIÇÃO) SEMI FLEXIVEL</t>
  </si>
  <si>
    <t>IMPERMEABILIZACAO-JARDINEIRA C/MANTA ANTI-RAIZ (COMPLETA)</t>
  </si>
  <si>
    <t>IMPERMEABILIZACAO VIGAS BALDRAMES E=2,0 CM</t>
  </si>
  <si>
    <t>IMPERMEABILIZAÇÃO-REBAIXO BANHEIRO COM 4 DEMÃOS DE EMULSÃO ASFÁLTICA</t>
  </si>
  <si>
    <t xml:space="preserve">IMPERMEABILIZAÇÃO  MURO DE ARRIMO COM 4 DEMÃOS DE EMULSÃO ASFÁLTICA </t>
  </si>
  <si>
    <t>IMPERMEABILIZAÇÃO DE ALICERCE / "PÉ" DE PAREDE / PEITORIL E ALVENARIA DE UM MODO GERAL COM CIMENTO CRISTALIZANTE SEMI FLEXÍVEL - 2 DEMÃOS ( ESPECÍFICO PARA OBRAS DE REFORMA)</t>
  </si>
  <si>
    <t>ISOLAMENTO TÉRMICO E ACÚSTICO</t>
  </si>
  <si>
    <t>ISOLAMENTO TÉRMICO E ACÚSTICO DE LAJE DE COBERTURA COM VERMICULITA (1CI : 11,1111VERM) - ESP.=3CM</t>
  </si>
  <si>
    <t>PROTEÇÃO MECÂNICA, TÉRMICA E ACÚSTICA DE IMPERMEABILIZAÇÃO PARA LAJE COM VERMICULITA (1CI:2ARM:3VERM) ESP.=3CM</t>
  </si>
  <si>
    <t>EMBOÇO (ISOLANTE TÉRMICO E ACÚSTICO) COM VERMICULITA (1CI:2CH:1ARM:8,3333VERM) ESP.=3CM</t>
  </si>
  <si>
    <t>REBOCO (1CALH:4ARFC+100KG CI/M3) ESP.= 1CM</t>
  </si>
  <si>
    <t>REGULARIZAÇÃO E/OU NIVELAMENTO DE LAJE COM VERMICULITA ( 1CI:1ARM:5,5556VERM)</t>
  </si>
  <si>
    <t>ESTRUTURA DE MADEIRA</t>
  </si>
  <si>
    <t>ESTRUTURA DE MADEIRA PARA TELHA CERÂMICA V=3 A 7 M. C/FERRAGENS</t>
  </si>
  <si>
    <t>ESTRUTURA DE MADEIRA PARA TELHA CERAMICA V=7 A 10 M C/FERRAGENS</t>
  </si>
  <si>
    <t>ESTRUTURA DE MADEIRA PARA TELHA CERAMICA V=10-13 M. C/FERRAGENS</t>
  </si>
  <si>
    <t>MÃO DE OBRA ESTR.MAD.TELHA CERÂMICA V=3 A 7 M</t>
  </si>
  <si>
    <t>MÃO DE OBRA ESTR.MAD.TELHA CERÂMICA V=7 A 10 M</t>
  </si>
  <si>
    <t>MÃO DE OBRA ESTR.MAD.TELHA CERÂMICA V=10 A 13 M</t>
  </si>
  <si>
    <t>MÃO DE OBRA P/ESTR.MAD.EM TESOURA TELHA FIBROCIMENTO</t>
  </si>
  <si>
    <t>MAO DE OBRA P/ESTR.MADEIRA EM TERÇA TELHA FIBROCIMENTO</t>
  </si>
  <si>
    <t>ESTRUTURA DE MADEIRA PARA TELHA FIBROCIMENTO COM APOIOS EM LAJES/VIGAS OU PAREDES(SOMENTE TERÇAS) C/FERRAGENS</t>
  </si>
  <si>
    <t>ESTRUTURA DE MADEIRA PARA TELHA DE FIBROCIMENTO (C/TESOURA) C/FERRAGENS</t>
  </si>
  <si>
    <t>GRADEADO CAIBROS/RIPAS</t>
  </si>
  <si>
    <t>UTILIZAÇÃO DO CAIBRO NO LUGAR DO RIPAMENTO</t>
  </si>
  <si>
    <t>RIPAMENTO DE MADEIRA</t>
  </si>
  <si>
    <t>RIPÃO APARELHADO PARA TELHADO</t>
  </si>
  <si>
    <t>TRATAMENTO PARA ESTRUTURA DE TELHADO</t>
  </si>
  <si>
    <t>ESTRUTURAS METÁLICAS</t>
  </si>
  <si>
    <t>ESTRUTURA METÁLICA CONVENCIONAL EM AÇO DO TIPO USI SAC-300 COM FUNDO ANTICORROSIVO</t>
  </si>
  <si>
    <t>ESTRUTURA METÁLICA CONVENCIONAL EM AÇO DO TIPO MR-250 / ASTM A36 COM FUNDO ANTICORROSIVO</t>
  </si>
  <si>
    <t>COBERTURAS</t>
  </si>
  <si>
    <t>COBERTURA COM TELHA AMERICANA  RESINADA COR VERMELHA</t>
  </si>
  <si>
    <t>CUMEEIRA PARA TELHA AMERICANA RESINADA COR VERMELHA</t>
  </si>
  <si>
    <t>COBERTURA COM TELHA COLONIAL RESINADA COR VERMELHA</t>
  </si>
  <si>
    <t>CUMEEIRA P/TELHA COLONIAL RESINADA COR VERMELHA</t>
  </si>
  <si>
    <t>COBERTURA COM TELHA PLAN RESINADA COR VERMELHA</t>
  </si>
  <si>
    <t>CUMEEIRA  P/ TELHA PLAN RESINADA COR VERMELHA</t>
  </si>
  <si>
    <t>EMBOCAMENTO LATERAL  (OITOES)</t>
  </si>
  <si>
    <t>EMBOCAMENTO DE BEIRAL</t>
  </si>
  <si>
    <t>MAO DE OBRA PARA COBERTURA COM TELHA COLONIAL PLAN</t>
  </si>
  <si>
    <t>COBERTURA COM TELHA ONDULADA DE FIBROCIMENTO</t>
  </si>
  <si>
    <t>CUMEEIRA PARA TELHA ONDULADA DE FIBROCIMENTO</t>
  </si>
  <si>
    <t>CALHA DE CHAPA GALVANIZADA</t>
  </si>
  <si>
    <t>RUFO DE CHAPA GALVANIZADA</t>
  </si>
  <si>
    <t>COBERTURA COM TELHA CANALETE 49 OU EQUIV. COM ACESSÓRIOS</t>
  </si>
  <si>
    <t>COBERTURA COM TELHA CANALETE 90 OU EQUIV. COM ACESSÓRIOS</t>
  </si>
  <si>
    <t>COBERTURA COM TELHA DE ALUMÍNIO 0.5 MM</t>
  </si>
  <si>
    <t>COBERTURA COM TELHA FIBERGLASS COM VÉU PROTEÇÃO 1MM COM ACESSÓRIOS</t>
  </si>
  <si>
    <t>RIPAMENTO DE ARGAMASSA</t>
  </si>
  <si>
    <t>FECHAMENTO LATERAL COM TELHA METÁLICA COM PINTURA ELETROSTÁTICA 0,65 MM COM ACESSÓRIOS</t>
  </si>
  <si>
    <t>FECHAMENTO LATERAL COM TELHA METÁLICA COM PINTURA ELETROSTÁTICA 0,50 MM COM ACESSÓRIOS</t>
  </si>
  <si>
    <t>COBERTURA COM TELHA FIBERGLASS COM VÉU PROTEÇÃO 1,5 MM COM ACESSÓRIOS</t>
  </si>
  <si>
    <t>CUMEEIRA PARA TELHA GALVANIZADA TRAPEZOIDAL 0,43MM</t>
  </si>
  <si>
    <t>CUMEEIRA PARA TELHA GALVANIZADA TRAPEZOIDAL 0,5 MM</t>
  </si>
  <si>
    <t>CUMEEIRA PARA TELHA GALVANIZADA ONDULADA 0,5 MM</t>
  </si>
  <si>
    <t>COBERTURA COM TELHA GALVANIZADA ONDULADA 0,5 MM COM ACESSÓRIOS</t>
  </si>
  <si>
    <t>COBERTURA COM TELHA CHAPA GALVANIZADA  TRAPEZOIDAL 0,5 MM COM ACESSÓRIOS</t>
  </si>
  <si>
    <t>COBERTURA COM TELHA CHAPA GALVANIZADA TRAPEZOIDAL 0,43 MM COM ACESSÓRIOS</t>
  </si>
  <si>
    <t>FECHAMENTO LATERAL COM TELHA GALVANIZADA TRAPEZOIDAL 0,43 MM COM ACESSÓRIOS</t>
  </si>
  <si>
    <t>ESQUADRIAS DE MADEIRA</t>
  </si>
  <si>
    <t>ALIZAR</t>
  </si>
  <si>
    <t>PORTAL (INCLUSO ENCHIMENTO COM ALVENARIA)</t>
  </si>
  <si>
    <t xml:space="preserve">Jg    </t>
  </si>
  <si>
    <t>JANELA EM ALUMINIO NATURAL DE CORRER 2 FOLHAS DE VIDRO C/FERRAGENS. (M.O.FAB.INC.MAT.)</t>
  </si>
  <si>
    <t>JANELA EM ALUMÍNIO NATURAL DE CORRER COM 3 FOLHAS (01 VIDRO E 02 VENEZIANA) C/FERRAGENS (M.O.FAB.INC.MAT.)</t>
  </si>
  <si>
    <t>PORTA LISA 80x210 C/PORTAL E ALISAR S/FERRAGENS</t>
  </si>
  <si>
    <t>PORTA DE SANITARIO 60x 160v200CM C/PORTAL /ALISAR S/FERRAGENS</t>
  </si>
  <si>
    <t>PORTA REVESTIDA COM MATERIAL MELAMÍNICO PARA BOX (60X 160v200CM) COM PORTAL E ALISAR SEM FERRAGENS</t>
  </si>
  <si>
    <t>FOLHA DE PORTA LISA 60/70/80X210</t>
  </si>
  <si>
    <t>FOLHA DE PORTA COM REVESTIMENTO MELAMÍNICO 70X210</t>
  </si>
  <si>
    <t>FOLHA DE PORTA COM REVESTIMENTO MELAMÍNICO 60X210</t>
  </si>
  <si>
    <t>PORTA LISA 90X210 COM PORTAL E ALISAR SEM FERRAGENS</t>
  </si>
  <si>
    <t>PORTA LISA 100X210 COM PORTAL E ALISAR SEM FERRAGENS</t>
  </si>
  <si>
    <t>FOLHA DE PORTA LISA 90 X 210</t>
  </si>
  <si>
    <t>FOLHA DE PORTA LISA 100 X 210</t>
  </si>
  <si>
    <t>FOLHA DE PORTA COM REVESTIMENTO MELAMÍNICO 60X180</t>
  </si>
  <si>
    <t>FOLHA DE PORTA COM REVESTIMENTO MELAMÍNICO 80X210</t>
  </si>
  <si>
    <t>FOLHA DE PORTA COM REVESTIMENTO MELAMÍNICO 90X210</t>
  </si>
  <si>
    <t>FOLHA DE PORTA COM REVESTIMENTO MELAMÍNICO 100X210</t>
  </si>
  <si>
    <t>ESQUADRIA DE ALUMÍNIO NATURAL CORRER / VIDRO 2 FOLHAS C/FERRAGENS.(M.O.FAB.INC.MAT.)</t>
  </si>
  <si>
    <t>ESQUADRIA ALUMÍNIO NATURAL COM 3 FOLHAS (01 VIDRO E 02 VENEZIANA ) C/FERRAGENS (M.O.FAB.INC.MAT.)</t>
  </si>
  <si>
    <t>PORTA DE ABRIR EM ALUMÍNIO NATURAL / VIDRO C/FERRAGENS (M.O.FAB.INC.MAT.)</t>
  </si>
  <si>
    <t>PORTA DE ABRIR ALUMÍNIO NATURAL EM VENEZIANA C/FERRAGENS (M.O.FAB.INC.MAT.)</t>
  </si>
  <si>
    <t>JANELA EM ALUMÍNIO NATURAL MAXIM AR C/FERRAGENS (M.O.FAB.INC.MAT.)</t>
  </si>
  <si>
    <t>JANELA EM ALUMINIO ANODIZADO DE CORRER 02 FOLHAS DE VIDRO C/FERRAGENS (M.O.FAB.INC.MAT.)</t>
  </si>
  <si>
    <t>JANELA EM ALUMINIO ANODIZADO COM 03 FOLHAS (01 VIDRO E 02 VENEZIANAS) C/FERRAGENS (M.O.FAB.INC.MAT.)</t>
  </si>
  <si>
    <t>PORTA DE ABRIR EM ALUMÍNIO ANODIZADO / VIDRO C/FERRAGENS (M.O.FAB.INC.MAT.)</t>
  </si>
  <si>
    <t>PORTA DE ABRIR ALUMÍNIO ANODIZADO EM VENEZIANA C/FERRAGENS (M.O.FAB.INC.MAT.)</t>
  </si>
  <si>
    <t>JANELA EM ALUMÍNIO ANODIZADO MAXIM AR C/FERRAGENS (M.O.FAB.INC.MAT.)</t>
  </si>
  <si>
    <t>PORTA CORTA FOGO COMPLETA - P90</t>
  </si>
  <si>
    <t>GRADE PROTECAO TIPO TIJOLINHO GP-1/GP-2</t>
  </si>
  <si>
    <t>PORTÃO DE ABRIR 02 FOLHAS DE TELA/TUBO FoGo 1.1/2" PT1/PT2 C/FERRAGENS</t>
  </si>
  <si>
    <t>PORTÃO DE ABRIR 01 FOLHA TELA/TUBO FoGo 1.1/2" PT3 C/FERRAGENS</t>
  </si>
  <si>
    <t>PORTÃO DE ABRIR 01 FOLHA TELA/TUBO FoGo 2" PT10 C/FERRAGENS</t>
  </si>
  <si>
    <t>PORTÃO DE ABRIR 02 FOLHAS DE FERRO REDONDO PT-6 C/FERRAGENS</t>
  </si>
  <si>
    <t>PORTA DE ENROLAR C/FERRAGENS</t>
  </si>
  <si>
    <t>PORTÃO DE ABRIR 01 FOLHA CHAPA 14  PT-4 C/FERRAGENS</t>
  </si>
  <si>
    <t>PORTÃO DE ABRIR 02 FOLHAS DE TELA E TUBO GALVANIZADO 2" PT 9 C/FERRAGENS</t>
  </si>
  <si>
    <t>PORTÃO DE ABRIR 01 FOLHA COM CHAPA TRAPEZOIDAL / TUBO DE ACO PT-5 C/FERRAGENS</t>
  </si>
  <si>
    <t>PORTÃO DE ABRIR DE 02 FOLHAS EM CHAPA 14 / GRADE DE FERRO PT-7 C/FERRAGENS</t>
  </si>
  <si>
    <t>PORTÃO DE CORRER E ABRIR CONJUGADO PT-8 C/FERRAGENS</t>
  </si>
  <si>
    <t>GRADE DE PROTECAO EM CANTONEIRA/FERRO QUADRADO GP3-GP4</t>
  </si>
  <si>
    <t>GRADE DE PROTECAO/TUBO INDUSTRIAL/FERRO REDONDO-GP5</t>
  </si>
  <si>
    <t>GRADE DE FRENTE/FERRO REDONDO COM ESTACA D=25CM ARMADA - GF-1</t>
  </si>
  <si>
    <t>GRADE DE FRENTE/TUBO DE AÇO COM ESTACA D=25CM ARMADA - GF-2</t>
  </si>
  <si>
    <t xml:space="preserve">GUARDA CORPO COM CORRIMÃO/TUBO INDUSTRIAL  GC-1 </t>
  </si>
  <si>
    <t>GUARDA CORPO COM CORRIMÃO/TUBO IND. E TELA ARTÍSTICA GC-2</t>
  </si>
  <si>
    <t>CORRIMÃO/TUBO INDUSTRIAL C-1</t>
  </si>
  <si>
    <t xml:space="preserve">GRADE PADRÃO PARA CELA </t>
  </si>
  <si>
    <t>GUARDA BICICLETAS</t>
  </si>
  <si>
    <t>GRADE GINASIO - TELA PORTUG.3X3CM FIO12/TB.INDUST.1.1/2"</t>
  </si>
  <si>
    <t>GRADE GINÁSIO (PARAFUSADA) TELA PORT.3X3CM FIO12/TUB.IND.1.1/2"</t>
  </si>
  <si>
    <t>GRELHA PADRÃO GOINFRA DE FERRO CHATO COM BERÇO (ESPAÇAMENTO ENTRE FACES = 1,5CM - NBR 9050 ACESSIBILIDADE)</t>
  </si>
  <si>
    <t>GRELHA PADRÃO GOINFRA DE FERRO CHATO COM BERÇO ( ESPAÇAMENTO ENTRE EIXOS = 2 CM)</t>
  </si>
  <si>
    <t>VEDAÇÃO DE JUNTA DE DILATAÇÃO COM CHAPA 18 VINCADA E PARAFUSADA A CADA 30 CM - PINTADA</t>
  </si>
  <si>
    <t>GUARDA CORPO COM CORRIMÃOS/TUBO INDUSTRIAL GCR</t>
  </si>
  <si>
    <t>GUARDA CORPO / TUBO INDUSTRIAL GCS-1</t>
  </si>
  <si>
    <t>GUARDA CORPO/TUBO INDUSTRIAL E TELA ARTÍSTICA GCS-2</t>
  </si>
  <si>
    <t>JANELA MAXIM AR CHAPA/VIDRO J4 C/FERRAGENS</t>
  </si>
  <si>
    <t>JANELA MAXIM AR CHAPA/VIDRO J3/J5/J6/J8 C/FERRAGENS</t>
  </si>
  <si>
    <t>JANELA DE CORRER VENEZIANA CHAPA/VIDRO J14 C/FERRAGENS</t>
  </si>
  <si>
    <t>JANELA DE CORRER CHAPA/VIDRO J9/J10/J12/J13 C/FERRAGENS</t>
  </si>
  <si>
    <t>JANELA DE CORRER VENEZIANA CHAPA/VIDRO J11/J16 C/FERRAGENS</t>
  </si>
  <si>
    <t>JANELA MAXIM AR CHAPA/VIDRO J1/J2/J7/J15 C/FERRAGENS</t>
  </si>
  <si>
    <t>JANELA BASCULANTE EM CHAPA  J17, J18 e J19 C/FERRAGENS</t>
  </si>
  <si>
    <t>JANELA METALICA / PRE-MOLDADO JPM-1 / JPM-2 C/FERRAGENS</t>
  </si>
  <si>
    <t>JANELA EM CHAPA METÁLICA TIPO VENEZIANA FIXA COM VENTILAÇÃO  J-20</t>
  </si>
  <si>
    <t>PORTA DE ABRIR DE 01 FOLHA EM CHAPA VINCADA PF-1A C/FERRAGENS</t>
  </si>
  <si>
    <t>PORTA DE ABRIR DE 01 FOLHA EM CHAPA METÁLICA PF-1B C/FERRAGENS</t>
  </si>
  <si>
    <t>PORTA DE ABRIR DE 01 FOLHA EM CHAPA METÁLICA PF-1 C/FERRAGENS</t>
  </si>
  <si>
    <t>PORTA DE ABRIR DE 01 FOLHA DE VIDRO PF-2 C/FERRAGENS</t>
  </si>
  <si>
    <t>PORTA DE ABRIR DE 01 FOLHA (VENEZIANA/VIDRO) PF-3 C/FERRAGENS</t>
  </si>
  <si>
    <t>PORTA DE ABRIR DE 01 FOLHA EM VENEZIANA PF-4 C/FERRAGENS</t>
  </si>
  <si>
    <t>PORTA DE ABRIR DE 02 FOLHAS EM VENEZIANA PF-5 C/FERRAGENS</t>
  </si>
  <si>
    <t>PORTA DE CORRER DE 04 FOLHAS EM VIDRO (DUAS FIXAS E DUAS MÓVEIS) PF-6 C/ FERRAGENS</t>
  </si>
  <si>
    <t>PORTA DE CORRER DE 02 OU 04 FOLHAS DE VIDRO (METADE FIXA/METADE MÓVEL) C/BASCULA SUPERIOR PF-7/PF-8 C/ FERRAGENS</t>
  </si>
  <si>
    <t>PORTA DE ABRIR DE 02 FOLHAS DE VIDRO PF-9 C/FERRAGENS</t>
  </si>
  <si>
    <t>PORTA DE ABRIR DE 01 FOLHA EM CHAPA DE AÇO PARA SANITÁRIO PF-10 C/FERRAGENS</t>
  </si>
  <si>
    <t>PORTA CH./VENEZIANA PRE-MOLD.PPM-1/PPM-2 C/FERRAGEM</t>
  </si>
  <si>
    <t>PORTA CHAPA / GRADE - PRE-MOLD.PPM-3 C/FERRAGEM</t>
  </si>
  <si>
    <t>PORTA EM CHAPA P/WC - PRE-MOLD.PPM-4 C/FERRAGEM</t>
  </si>
  <si>
    <t>PORTA DE ABRIR DE 02 FOLHAS (VENEZIANA / VIDRO) PF-11 C/FERRAGENS</t>
  </si>
  <si>
    <t>ESCADA TIPO MARINHEIRO COM GUARDA CORPO PADRÃO GOINFRA ( H &gt; 3M )</t>
  </si>
  <si>
    <t>ESCADA TIPO MARINHEIRO SEM GUARDA CORPO PADRÃO GOINFRA ( H &lt;= 3M)</t>
  </si>
  <si>
    <t>GAIOLA PADRÃO EM AÇO CA-50 8.0 MM PARA PROTEÇÃO DAS LUMINÁRIAS</t>
  </si>
  <si>
    <t>ALÇAPÃO FORMATO COIFA EM CHAPA VINCADA Nº. 18 H=(10+2)CM, C/ALÇAS E PORTA CADEADOS (INCLUSIVE CADEADOS Nº. 30)</t>
  </si>
  <si>
    <t>VIDROS</t>
  </si>
  <si>
    <t>VIDRO LISO 3 MM - COLOCADO</t>
  </si>
  <si>
    <t>VIDRO LISO 4 MM - COLOCADO</t>
  </si>
  <si>
    <t>VIDRO LISO 5 MM - COLOCADO</t>
  </si>
  <si>
    <t>VIDRO LISO 6 MM - COLOCADO</t>
  </si>
  <si>
    <t>VIDRO MINI-BOREAL - COLOCADO</t>
  </si>
  <si>
    <t>VIDRO PONTILHADO - COLOCADO</t>
  </si>
  <si>
    <t>VIDRO MARTELADO - COLOCADO</t>
  </si>
  <si>
    <t>VIDRO CANELADO - COLOCADO</t>
  </si>
  <si>
    <t>VIDRO TEMPERADO 10 MM  - COLOCADO</t>
  </si>
  <si>
    <t>VIDRO TEMPERADO 10 MM FUME - COLOCADO</t>
  </si>
  <si>
    <t>VIDRO FUME COMUM 4MM - COLOCADO</t>
  </si>
  <si>
    <t>VIDRO ARAMADO - COLOCADO</t>
  </si>
  <si>
    <t>REVESTIMENTO DE PAREDES</t>
  </si>
  <si>
    <t>CHAPISCO COMUM</t>
  </si>
  <si>
    <t>COSTURA DE TRINCA EM ALVENARIA  DE TIJOLO</t>
  </si>
  <si>
    <t>RASGO E ENCHIMENTO DE ALVENARIA</t>
  </si>
  <si>
    <t>CHAPISCO FINO USADO SOBRE EMBOCO C/PENEIRA</t>
  </si>
  <si>
    <t>CHAPISCO COM PEDRISCO</t>
  </si>
  <si>
    <t>CHAPISCO COMUM EM FACHADA</t>
  </si>
  <si>
    <t>CHAPISCO COMUM EM BALANCIM</t>
  </si>
  <si>
    <t>CHAPISCO ROLADO - (1COLA:10CI:30 ARML)</t>
  </si>
  <si>
    <t>EMBOÇO PARA REBOCO FINO (1CALH:4ARML+100kgCI/M3)</t>
  </si>
  <si>
    <t>EMBOÇO (1CI:4 ARML)</t>
  </si>
  <si>
    <t>REBOCO (1 CALH:4 ARFC+100kgCI/M3)</t>
  </si>
  <si>
    <t>REBOCO PAULISTA A-14 (1CALH:4ARMLC+100kgCI/M3)</t>
  </si>
  <si>
    <t>REBOCO PAULISTA A-7 (1 CALH,4 ARMLC)</t>
  </si>
  <si>
    <t>REBOCO - 1CI:3 ARML - (BASE P/TINTA EPOXI / OUTROS)</t>
  </si>
  <si>
    <t>REVESTIMENTO C/LITOCERAMICA</t>
  </si>
  <si>
    <t>REBOCO PAULISTA A13 (1 CALH:3 ARMLC+100kgCI/M3)</t>
  </si>
  <si>
    <t>REBOCO PAULISTA C/IMPERMEABILIZANTE A-15 (1CI:4ARMLC+5% IMPXCI)</t>
  </si>
  <si>
    <t>CHAPISCO GROSSO</t>
  </si>
  <si>
    <t>PASTILHA DE PORCELANA COM PASTA COLANTE</t>
  </si>
  <si>
    <t>PASTILHA PORCELANA C/ARGAMASSA FLEXIVEL</t>
  </si>
  <si>
    <t>REVESTIMENTO COM PEDRA SAO THOME</t>
  </si>
  <si>
    <t>REVESTIMENTO DE MARMORE PADRONIZADO</t>
  </si>
  <si>
    <t xml:space="preserve">REVESTIMENTO COM CERÂMICA </t>
  </si>
  <si>
    <t>REVESTIMENTO COM LAMINADO MELAMÍNICO SOBRE EMBOÇO 1:3</t>
  </si>
  <si>
    <t>REJUNTAMENTO C/CIMENTO-COLA PRE-MOL</t>
  </si>
  <si>
    <t>REJUNTAMENTO C/MASSA PLÁSTICA - PRE MOL.</t>
  </si>
  <si>
    <t>REVESTIMENTO COM BARITA - RX GABINETE MÉDICO</t>
  </si>
  <si>
    <t>BARRA LISA (1CI:4ARMLC+5%IMP.X CI) C/OXIDO FERRO</t>
  </si>
  <si>
    <t>REVESTIMENTO COM BARITA - RX GABINETE ODONTOLÓGICO</t>
  </si>
  <si>
    <t>MOLDURA TIPO "U" INVERTIDO EM ARGAMASSA COM 2CM DE ESPESSURA TIPO PINGADEIRA EM MURO/PLATIBANDA ( A PARTE VERTICAL DESCE 2,5CM)</t>
  </si>
  <si>
    <t>FORROS</t>
  </si>
  <si>
    <t>CHAPISCO EM FORRO (1CI: 3 ARG)</t>
  </si>
  <si>
    <t>CHAPISCO ROLADO (1CIM:3 ARML)+(1 COLA:10 CIM)</t>
  </si>
  <si>
    <t>EMBOCO EM FORRO (1 CALH:4 ARML+150 KG CI/M3)</t>
  </si>
  <si>
    <t>REBOCO FINO EM FORRO (1 CALH:4 ARFC+100 KG CI/M3)</t>
  </si>
  <si>
    <t>REBOCO PAULISTA EM FORRO(1CALH:4ARML+150KG CI/M3)</t>
  </si>
  <si>
    <t>FORRO DE PVC COM ESTRUTURA EM METALON PINTADA COM TINTA ALQUÍDICA D.F.</t>
  </si>
  <si>
    <t>FORRO DE PVC SEM ESTRUTURA DE METALON (COM REPINTURA DA ESTRUTURA COM TINTA ALQUÍDICA D.F.)</t>
  </si>
  <si>
    <t>FORRO DE GESSO ACARTONADO PARA ÁREAS SECAS ESPESSURA DE 12,5MM</t>
  </si>
  <si>
    <t>FORRO DE GESSO ACARTONADO PARA ÁREAS MOLHADAS, ESPESSURA DE 12,5 MM</t>
  </si>
  <si>
    <t>FORRO DE GESSO COMUM</t>
  </si>
  <si>
    <t>MOLDURA PARA FORRO DE GESSO COMUM 5 CM</t>
  </si>
  <si>
    <t>TABICA PARA FORRO DE GESSO COMUM</t>
  </si>
  <si>
    <t>GESSO CORRIDO EM TETO</t>
  </si>
  <si>
    <t>FORRO PAULISTA DE CEDRINHO (1ª QUALIDADE)</t>
  </si>
  <si>
    <t>REVESTIMENTO DE PISO</t>
  </si>
  <si>
    <t>FITA ANTIDERRAPANTE PARA ÁREAS INTERNAS E EXTERNAS - ALTO TRÁFEGO - USO GERAL</t>
  </si>
  <si>
    <t>LASTRO DE CONCRETO REGULARIZADO SEM IMPERMEAB. 1:3:6 ESP= 5CM (BASE)</t>
  </si>
  <si>
    <t xml:space="preserve">REGULARIZAÇAO DE PISO/LAJE/ BASE PARA TINTA EPÓXI (1:3) e=2 CM </t>
  </si>
  <si>
    <t>PISO LAMINADO COM CONCRETO 20MPA E=5CM</t>
  </si>
  <si>
    <t>PISO LAMINADO COM CONCRETO USINADO 20MPA E=5CM</t>
  </si>
  <si>
    <t xml:space="preserve">PISO LAMINADO COM CONCRETO 20MPA E=7CM </t>
  </si>
  <si>
    <t xml:space="preserve">PISO LAMINADO COM CONCRETO USINADO 20MPA E=7 CM  </t>
  </si>
  <si>
    <t>PASSEIO PROTECAO EM CONC.DESEMPEN.5 CM 1:2,5:3,5 (INCLUSO ESPELHO DE 30CM/ESCAVAÇÃO/REATERRO/APILOAMENTO/ATERRO INTERNO)</t>
  </si>
  <si>
    <t>LASTRO DE CONCRETO REGULARIZADO IMPERMEABILIZADO 1:3:6 ESP=5CM (BASE)</t>
  </si>
  <si>
    <t>PISO CONCRETO DESEMPENADO ESPESSURA = 5 CM  1:2,5:3,5</t>
  </si>
  <si>
    <t>PISO EM CONCRETO ARMADO E=20CM BAIA TERM.RODOVIARIO 30MPA(3X3 M)COMP./S.LEITO</t>
  </si>
  <si>
    <t>PISO EM CONCRETO DESEMPENADO ESPESSURA = 7 CM  1:2,5:3,5</t>
  </si>
  <si>
    <t>PISO CONCRETO POLIDO E=2,0 CM (1:2:2,5) E JUNTA PL ASTICA 17MM</t>
  </si>
  <si>
    <t>LASTRO DE BRITA PARA PISO - (OBRAS CIVIS)</t>
  </si>
  <si>
    <t>PISO CONCRETO SEMI POLIDO COM LASTRO (BASE) E=7,0 CM</t>
  </si>
  <si>
    <t>CONCRETO DESEMPENADO PARA QUADRA COM LASTRO E=7,0 CM</t>
  </si>
  <si>
    <t>RODAPE DE CONCRETO POLIDO 7 CM CANTO VIVO</t>
  </si>
  <si>
    <t>PISO CIMENTADO C/RESINA SINTÉTICA E=1CM (1 CI:3 ARMG))</t>
  </si>
  <si>
    <t>CHAPISCO ADESIVO S/PISO C/RESINA SINTÉTICA E=5 MM ( 1CI:1,5 ARMG)</t>
  </si>
  <si>
    <t>CONCRETO DESEMPENADO 5CM C/JUNTA SX.ROLADO-10CM-1:2,5:3,5</t>
  </si>
  <si>
    <t>CIMENTO LISO IMPERM. NATURAL E=2CM C/JUNTA PLÁSTICA 1CI:3ARMG</t>
  </si>
  <si>
    <t>CIMENTO RUSTICO IMP. NATURAL E=.2CM C/JUNTA PLÁSTICA 1CI:3ARMG</t>
  </si>
  <si>
    <t>CIMENTO RUSTICO E=2CM C/JUNTA PLAST.1 CI:3 ARMG</t>
  </si>
  <si>
    <t>PISO CIMENTADO RUSTICO ESP=2 CM SEM JUNTA (1CI:3ARMG)</t>
  </si>
  <si>
    <t>PISO EM CERÂMICA PEI MAIOR OU IGUAL A 4 COM CONTRA PISO (1CI:3ARML) E ARGAMASSA COLANTE</t>
  </si>
  <si>
    <t>RODAPÉ DE CERÂMICA  COM ARGAMASSA COLANTE</t>
  </si>
  <si>
    <t>CERÂMICA ANTIDERRAPANTE PEI MAIOR OU IGUAL A 4 COM CONTRA PISO (1CI:3ARML) E ARGAMASSA COLANTE</t>
  </si>
  <si>
    <t>RODAPÉ DE CERÂMICA ANTIDERRAPANTE COM ARGAMASSA COLANTE</t>
  </si>
  <si>
    <t>PISO DE ARDOSIA SERRADO COM CONTRAPISO (1CI:3ARML)</t>
  </si>
  <si>
    <t>RODAPE DE ARDOSIA</t>
  </si>
  <si>
    <t>PISO ARENITO SERRADO (PEDRA DE PIRENÓPOLIS ASSENTADA EM BARRO E REJUNTE COM ARGAMASSA)</t>
  </si>
  <si>
    <t>RODAPE DE MADEIRA</t>
  </si>
  <si>
    <t>CIMENTO LISO C/ OXIDO DE FERRO E=2 CM C/JUNTA PL.1CI:3ARMG</t>
  </si>
  <si>
    <t>RODAPE DE MASSA (ICI:3 ARMG)</t>
  </si>
  <si>
    <t>PISO FUNDIDO DE ALTA RESISTÊNCIA 8MM COM CONTRAPISO E=2CM (1CI:3ARML) E JUNTA PLASTICA 27MM</t>
  </si>
  <si>
    <t>RODAPÉ FUNDIDO DE ALTA RESISTÊNCIA 7 CM CANTO VIVO</t>
  </si>
  <si>
    <t>PISO EM PEDRA PORTUGUESA</t>
  </si>
  <si>
    <t>PISO EM MARMORE COM CONTRAPISO (1CI:3ARML)</t>
  </si>
  <si>
    <t>CONCRETO SEIXO ROLADO SEMI POLIDO 3CM(1:2:2,5) C/JUNTA 27MM</t>
  </si>
  <si>
    <t>JUNTA/DILATACAO C/SEIXO ROLADO</t>
  </si>
  <si>
    <t>ASSOALHO EM MADEIRA DE LEI COM CONTRAPISO (1CI:3ARML)</t>
  </si>
  <si>
    <t>PISO EM GRANITO IMPERMEABILIZADO E COM CONTRAPISO (1CI:3ARML)</t>
  </si>
  <si>
    <t>RODAPE DE GRANITO</t>
  </si>
  <si>
    <t>SOLEIRA EM GRANITO IMPERMEABILIZADA COM CONTRAPISO (1CI:3ARML)</t>
  </si>
  <si>
    <t>BORRACHA ANTIDERRAPANTE  C/ CONTRAPISO (1CI:3ARML) E=2CM E NATA DE CIMENTO</t>
  </si>
  <si>
    <t>PISO VINILICO COM CONTRAPISO (1CI:3ARML) E=2CM E NATA DE CIMENTO</t>
  </si>
  <si>
    <t>PISO VINÍLICO TRÁFEGO INTENSO COM CONTRAPISO (1CI:3ARML) E=2CM E NATA DE CIMENTO</t>
  </si>
  <si>
    <t>RODAPÉ PLANO PARA PISO VINÍLICO H=5CM</t>
  </si>
  <si>
    <t>RODAPE PARA PISO DE BORRACHA</t>
  </si>
  <si>
    <t>GRANITINA 8MM FUNDIDA COM CONTRAPISO (1CI:3ARML) E=2CM E JUNTA PLASTICA 27MM</t>
  </si>
  <si>
    <t>RODAPÉ FUNDIDO DE GRANITINA 7CM</t>
  </si>
  <si>
    <t>RASPAGEM E APLICAÇÃO RESINA ACRÍLICA DUAS DEMÃOS</t>
  </si>
  <si>
    <t>GRANITINA 8MM FUNDIDA COM CONTRAPISO (1CI:3ARML) E=2CM E JUNTA PLASTICA 27MM (COM ÓXIDO DE FERRO)</t>
  </si>
  <si>
    <t>DEGRAUS FUNDIDOS DE GRANITINA COM CONTRAPISO</t>
  </si>
  <si>
    <t>DEMARCACAO DE QUADRA C/PISO VINILICO</t>
  </si>
  <si>
    <t>TESTEIRA/CANTONEIRA ALUMINIO</t>
  </si>
  <si>
    <t>PISO DE BORRACHA COLORIDO MODELO TÁTIL ( ALERTA OU DIRECIONAL) INCLUSO CONTRAPISO (1CI:3ARML) C/ E=2CM E NATA DE CIMENTO</t>
  </si>
  <si>
    <t>PISO DE BORRACHA COR PRETA MODELO TÁTIL ( ALERTA OU DIRECIONAL) INCLUSO CONTRAPISO (1CI:3ARML) C/ E=2CM E NATA DE CIMENTO</t>
  </si>
  <si>
    <t>PISO DE LADRILHO HIDRÁULICO COR NATURAL MODELO TÁTIL ( ALERTA OU DIRECIONAL) SEM LASTRO</t>
  </si>
  <si>
    <t>PISO DE LADRILHO HIDRÁULICO COLORIDO MODELO TÁTIL ( ALERTA OU DIRECIONAL) SEM LASTRO</t>
  </si>
  <si>
    <t>FERRAGENS</t>
  </si>
  <si>
    <t>FECHADURA TIPO ALAVANCA REF.: LAFONTE 6236 E/8766- E17 IMAB OU EQUIV.</t>
  </si>
  <si>
    <t>FECHADURA TIPO ALAVANCA REF.: LAFONTE 6236 I /8766- I18 IMAB OU EQUIV.</t>
  </si>
  <si>
    <t>FECHADURA TIPO LIVRE OCUPADO PARA SANITÁRIO REF.: (819 IMAB/719 LA FONTE) OU EQUIV.</t>
  </si>
  <si>
    <t>FECHADURA TIPO BICO DE PAPAGAIO REF.: (1222 LAFONTE/1161 E - 30  IMAB) OU EQUIV.</t>
  </si>
  <si>
    <t>FECHADURA TIPO ALAVANCA REF.: LAFONTE 6236 B/8766 - B19 IMAB OU EQUIV.</t>
  </si>
  <si>
    <t>TARGETA NIQUELADA No. 03</t>
  </si>
  <si>
    <t>FECHADURA TIPO BOLA REF.: LAFONTE 2080-E / 1005-E VOUGA OU EQUIVALENTE</t>
  </si>
  <si>
    <t>FECHADURA TIPO BOLA REF.: LAFONTE 2080-I / 005-I VOUGA OU EQUIVALENTE</t>
  </si>
  <si>
    <t>FECHADURA TIPO BOLA REF.: LAFONTE  2080-B / 005-B VOUGA OU EQUIVALENTE</t>
  </si>
  <si>
    <t>FECHO FIO REDONDO 4" ZINCADO PARAFUSADO</t>
  </si>
  <si>
    <t>BARRA DE APOIO EM AÇO INOX - 40 CM</t>
  </si>
  <si>
    <t xml:space="preserve">BARRA DE APOIO EM AÇO INOX - 80 CM </t>
  </si>
  <si>
    <t>DOBRADICA 3" x 3 1/2" FERRO POLIDO</t>
  </si>
  <si>
    <t>DOBRADICA 3" X 3 1/2" CROMADA</t>
  </si>
  <si>
    <t>CANTONEIRA PEQUENA PARA DIVISORIAS DE MÁRMORE/GRANITO</t>
  </si>
  <si>
    <t>CANTONEIRA GRANDE PARA DIVISORIAS DE MÁRMORE/GRANITO</t>
  </si>
  <si>
    <t>CHAPA SUPORTE PARA DIVISORIAS DE MÁRMORE/GRANITO</t>
  </si>
  <si>
    <t>BATENTE COM ENCOSTO DE BORRACHA PARA DIVISORIAS DE GRANITO/MÁRMORE</t>
  </si>
  <si>
    <t>DOBRADIÇA COM MOLA PARA PORTA/DIVISORIAS DE MÁRMORE/GRANITO</t>
  </si>
  <si>
    <t>PARAFUSO DE LATÃO PARA DIVISORIAS DE MÁRMORE/GRANITO</t>
  </si>
  <si>
    <t>CORRENTE GALVANIZADA 4 MM PARA CADEADO</t>
  </si>
  <si>
    <t>CADEADO 20 MM</t>
  </si>
  <si>
    <t>CADEADO 30 MM</t>
  </si>
  <si>
    <t>CADEADO 50 MM</t>
  </si>
  <si>
    <t>MARCENARIA</t>
  </si>
  <si>
    <t>TÁBUA APARELHADA PARA  GUICHÊ</t>
  </si>
  <si>
    <t>PORTA GIZ TIPO 1 - PADRÃO GOINFRA</t>
  </si>
  <si>
    <t>BATE CARTEIRA ENVERNIZADO E ASSENT. 2,5 X 12 CM</t>
  </si>
  <si>
    <t>PALCO MOVEL EM ASSOALHO EM IPE ENCERADO</t>
  </si>
  <si>
    <t>QUADRO  AVISO-MADEIRA DE LEI/COMPENS. 10MM/CORTIÇA/FELTRO ( SIMILAR AO TIPO 1)</t>
  </si>
  <si>
    <t>ESTRADO ESCOLA 20 SALAS</t>
  </si>
  <si>
    <t>QUADRO AVISO TP-1 (1,20 X 1,20 M)</t>
  </si>
  <si>
    <t>PORTINHOLA EM COMPENSADO 18MM / REVESTIDA COM LAMINADO MELAMÍNICO</t>
  </si>
  <si>
    <t>PRATELEIRA MONTANTES EM ALVEN. APARENTE C/PINTURA</t>
  </si>
  <si>
    <t>BATE MACA 2,5 X 12 CM/ENVERNIZ. E ASSENTADO</t>
  </si>
  <si>
    <t>PRATELEIRA EST.CAIBRO 4+1 TABUAS APARELHADAS E ENVERNIZADAS</t>
  </si>
  <si>
    <t xml:space="preserve">SUBSTITUIÇÃO DA MADEIRA DE LEI DA TABELA DE BASQUETE - INCLUSO PINTURA </t>
  </si>
  <si>
    <t>ADMINISTRAÇÃO - MENSALISTAS</t>
  </si>
  <si>
    <t>ENGENHEIRO - (OBRAS CIVIS)</t>
  </si>
  <si>
    <t>MESTRE DE OBRA - (OBRAS CIVIS)</t>
  </si>
  <si>
    <t>ENCARREGADO - (OBRAS CIVIS)</t>
  </si>
  <si>
    <t>VIGIA DE OBRAS (DIURNO)  - (OBRAS CIVIS)</t>
  </si>
  <si>
    <t>ALMOXARIFE - (OBRAS CIVIS)</t>
  </si>
  <si>
    <t>APONTADOR - (OBRAS CIVIS)</t>
  </si>
  <si>
    <t>VIGIA DE OBRAS - (NOTURNO  E NO SÁBADO/DOMINGO DIURNO) - O.C.</t>
  </si>
  <si>
    <t>VIGIA DE OBRAS - (NOTURNO) - OBRAS CIVIS</t>
  </si>
  <si>
    <t>ADMINISTRATIVO DE OBRAS - " APONTARIFE " - ( OBRAS CIVIS )</t>
  </si>
  <si>
    <t>TÉCNICO EM SEGURANÇA DO TRABALHO (O. CIVIS)</t>
  </si>
  <si>
    <t xml:space="preserve">h     </t>
  </si>
  <si>
    <t>PINTURA</t>
  </si>
  <si>
    <t>REMOCAO DE PINTURA ANTIGA A CAL</t>
  </si>
  <si>
    <t>REMOCAO DE PINTURA A TEMPERA</t>
  </si>
  <si>
    <t>LIMPEZA DE ESTRUTURA METALICA (SEM ANDAIME)</t>
  </si>
  <si>
    <t>REMOCAO DE PINTURA ANTIGA A LATEX</t>
  </si>
  <si>
    <t>REMOCAO DE PINTURA ANTIGA A OLEO OU ESMALTE</t>
  </si>
  <si>
    <t>CAIACAO TRES DEMAOS MUROS E PAREDES - (O.C.)</t>
  </si>
  <si>
    <t>CAIACAO DUAS DEMAOS MUROS E PAREDES - (O.C.)</t>
  </si>
  <si>
    <t>CAIAÇAO 2 DEMAOS EM POSTE/ VIGAS E MEIO FIO(OC)</t>
  </si>
  <si>
    <t>PINTURA TEXTURIZADA C/SELADOR ACRILICO</t>
  </si>
  <si>
    <t>PINTURA A BASE DE SILICONE 1 DEMAO</t>
  </si>
  <si>
    <t>PINTURA VERNIZ EM MADEIRA 2 DEMAOS</t>
  </si>
  <si>
    <t>PINTURA C/VERNIZ ACRILICO-02 DEMAOS</t>
  </si>
  <si>
    <t>PINTURA LATEX ACRILICA 3 DEMAOS C/SELADOR</t>
  </si>
  <si>
    <t>PINTURA LATEX ACRILICA 2 DEMAOS C/SELADOR</t>
  </si>
  <si>
    <t>PINTURA LATEX ACRILICO 2 DEMAOS</t>
  </si>
  <si>
    <t>PINTURA EPOXI 3 DEMÃOS</t>
  </si>
  <si>
    <t>EMASSAMENTO EPOXI 2 DEMÃOS</t>
  </si>
  <si>
    <t>PINTURA COM SELADOR ACRILICO</t>
  </si>
  <si>
    <t>PINTURA LATEX UMA DEMAO COM SELADOR</t>
  </si>
  <si>
    <t>FUNDO ANTICORROSIVO PARA ESQUADRIAS METÁLICAS</t>
  </si>
  <si>
    <t>FUNDO PRIMER PARA ESTRUTURA METALICA (2 DEMAOS)</t>
  </si>
  <si>
    <t>FUNDO ADERENTE PARA SUPERFÍCIES GALVANIZADAS - 1 DEMAO</t>
  </si>
  <si>
    <t>EMASSAMENTO COM MASSA PVA DUAS DEMAOS</t>
  </si>
  <si>
    <t>EMASSAMENTO COM MASSA PVA UMA DEMAO</t>
  </si>
  <si>
    <t>PINTURA LATEX DUAS DEMAOS COM SELADOR</t>
  </si>
  <si>
    <t>PINTURA LATEX TRES DEMAOS COM SELADOR</t>
  </si>
  <si>
    <t>EMASSAMENTO ACRILICO 2 DEMAOS</t>
  </si>
  <si>
    <t>EMASSAMENTO ACRÍLICO 1 DEMÃO EM PAREDE</t>
  </si>
  <si>
    <t>PINTURA PVA LATEX 1 DEMAO SEM SELADOR</t>
  </si>
  <si>
    <t>PINTURA PVA LATEX 2 DEMAOS SEM SELADOR</t>
  </si>
  <si>
    <t>PINTURA PVA LATEX 3 DEMAOS SEM SELADOR</t>
  </si>
  <si>
    <t>EMASSAMENTO A OLEO EM PAREDES 2 DEMAOS</t>
  </si>
  <si>
    <t>EMASSAMENTO/OLEO/ESQUADRIAS MADEIRA</t>
  </si>
  <si>
    <t>PINTURA ESMALTE SEM FUNDO ANTICORROSIVO 2 DEMAOS</t>
  </si>
  <si>
    <t>PINTURA ESMALTE 2 DEMÃOS PARA ESQUADRIAS DE FERRO (SEM FUNDO ANTICORROSIVO)</t>
  </si>
  <si>
    <t>PINTURA ESMALTE 1 DEMÃO ESQUADRIA METALICA S/FUNDO ANTICORROSIVO</t>
  </si>
  <si>
    <t>PINTURA ESMALTE 1 DEMÃO EM PAREDE SEM SELADOR</t>
  </si>
  <si>
    <t>PINTURA TINTA ESMALTE SINTETICO PARA PAREDES - 2 DEMÃOS C/SELADOR</t>
  </si>
  <si>
    <t>PINTURA ESMALTE SINTETICO 2 DEMÃOS EM ESQ. MADEIRA</t>
  </si>
  <si>
    <t>PINTURA TINTA ESMALTE PARA ESQUADRIAS DE FERRO C  FUNDO ANTICORROSIVO</t>
  </si>
  <si>
    <t>PINTURA TINTA GRAFITE PARA ESQUADRIA DE FERRO (DUPLA FUNÇÃO - FUNDO E ACABAMENTO)</t>
  </si>
  <si>
    <t>PINTURA DE QUADRO NEGRO COM EMASSAMENTO (INCLUSIVE MOLDURA/PORTA GIZ) - 5,00X1,20M</t>
  </si>
  <si>
    <t xml:space="preserve">PINTURA DE QUADRO NEGRO COM EMASSAMENTO (INCLUSIVE MOLDURA/PORTA GIZ) </t>
  </si>
  <si>
    <t>PINTURA CERAMICA P/BEIRAL</t>
  </si>
  <si>
    <t>PINTURA ESMALTE ALQUIDICO ESTRUTURA METALICA 2 DEMAOS</t>
  </si>
  <si>
    <t>PINTURA ESMALTE ALQUIDICO ESTRUTURA METALICA 1 DEMAO</t>
  </si>
  <si>
    <t>PINTURA  ALQUÍDICA BRILHANTE DUPLA FUNÇÃO 2 DEMÃOS = 50 MÍCRONS</t>
  </si>
  <si>
    <t>LETREIRO MÉDIO A GRANDE PORTE EM PAREDE FEITO A PINCEL</t>
  </si>
  <si>
    <t>LETREIRO PEQUENO PORTE A PINCEL EM PAREDE E PORTAS</t>
  </si>
  <si>
    <t>DEMARCAÇÃO DE QUADRA/VAGAS COM TINTA POLIESPORTIVA</t>
  </si>
  <si>
    <t>PINTURA TINTA POLIESPORTIVA - 2 DEMÃOS (PISOS E CIMENTADOS)</t>
  </si>
  <si>
    <t>DIVERSOS</t>
  </si>
  <si>
    <t>PLANTIO GRAMA BATATAIS PLACA C/ M.O. IRRIG.P/CAMPO FUTEBOL (ADUBO/ROLO/ETC) (OC) A&lt;11.000M2</t>
  </si>
  <si>
    <t>PLANTIO GRAMA BATATAIS MUDA C/ M.O. IRRIG. ADUBO E TERRA VEG.(OC) A&lt;11.000M2</t>
  </si>
  <si>
    <t>GRADE PROTEÇÃO 50X50CM EM CAIBRO COM H=1,70M E RIPAS ESPAÇADAS EM 17CM - PARA MUDA DE ÁRVORE</t>
  </si>
  <si>
    <t>IRRIGACAO PARA 30 DIAS / AREA PLANTADA</t>
  </si>
  <si>
    <t>PLANTIO GRAMA BATATAIS PLACA C/ M.O. IRRIG.ADUBO,TER.VEG.(OC) A&lt;11.000M2</t>
  </si>
  <si>
    <t>PLANTIO GRAMA ESMERALDA PLACA C/ M.O. IRRIG., ADUBO,TERRA VEGETAL (O.C.) A&lt;11.000,00M2</t>
  </si>
  <si>
    <t>ABERTURA DE CAVA 60X60X60CM C/ ADUBAÇÃO E PLANTIO DE FOLHAGEM,ARBUSTO, ÁRVORE OU PALMEIRA C/ H=0,50 A 0,70M - EXCLUSO O CUSTO DE AQUISIÇÃO DA MUDA</t>
  </si>
  <si>
    <t>ABERTURA DE CAVA 80X80X80CM C/ ADUBAÇÃO E PLANTIO DE ARBUSTO, ÁRVORE OU PALMEIRA C/ H=0,70 A 2,00M - EXCLUSO O CUSTO DE AQUISIÇÃO DA MUDA</t>
  </si>
  <si>
    <t>PREPARAÇÃO C/ ADUBAÇÃO DO TERRENO EM FORMA DE CANTEIRO E PLANTIO DE FORRAÇÃO AMBOS C/PROFUNDIDADE DE 30 CM - EXCLUSO O CUSTO DE AQUISIÇÃO DA MUDA</t>
  </si>
  <si>
    <t>PAVIMENTO EM CONCRETO TIPO CONCREGRAMA/PISOGRAMA/PATIOGRAMA ( PLANTIO DA GRAMA INCLUSO)</t>
  </si>
  <si>
    <t>PAVIMENTO INTERTRAVADO ESPESSURA DE 4CM E FCK = 20 MPA</t>
  </si>
  <si>
    <t>PAVIMENTO INTERTRAVADO ESPESSURA DE 6CM E FCK = 35 MPA</t>
  </si>
  <si>
    <t>PAVIMENTO INTERTRAVADO ESPESSURA DE 8CM E FCK = 35 MPA</t>
  </si>
  <si>
    <t>PAVIMENTO INTERTRAVADO ESPESSURA DE 10CM E FCK = 35 MPA</t>
  </si>
  <si>
    <t>LIMPEZA FINAL DE OBRA - (OBRAS CIVIS)</t>
  </si>
  <si>
    <t>LIMPEZA COM ÁCIDO MURIÁTICO (1:20), NEUTRALIZADO COM DETERGENTE AMONIACAL (HIDRÓXIDO DE AMÔNIO) (1:10)</t>
  </si>
  <si>
    <t>PAVIMENTO INTERTRAVADO SEXTAVADO (BLOKRET) - 8 CM PRE-FABR.FCK 22 MPA</t>
  </si>
  <si>
    <t>PAVIMENTO INTERTRAVADO SEXTAVADO (BLOKRET) - 6 CM PRE-FABR.FCK 18 MPA</t>
  </si>
  <si>
    <t>PAVIMENTO INTERTRAVADO SEXTAVADO (BLOKRET) - 10 CM FCK=35 MPA PRE-FABR.</t>
  </si>
  <si>
    <t>CALCAMENTO COM PARALELEPIPEDO</t>
  </si>
  <si>
    <t>REDE PROTECAO DE NYLON COM GANCHOS E BUCHAS S8</t>
  </si>
  <si>
    <t>ARAME FARPADO 3 FIOS EM ALAMBRADO E/OU MURO EXISTENTES</t>
  </si>
  <si>
    <t xml:space="preserve">ALAMBRADO (2ª OPÇÃO) EM POSTE DE CONCRETO DUPLO T 150X7M / TUBO INDUSTRIAL 2"#2,28 / TELA MALHA 4" FIO 12 </t>
  </si>
  <si>
    <t>ALAMBRADO EM TUBO INDUSTRIAL 2"#2,28 E TELA MALHA 4" FIO 12 (QUADRA ESPORTE EXISTENTE) SEM PINTURA</t>
  </si>
  <si>
    <t>ALAMBRADO CANO FERRO GALVANIZADO 2" E TELA H=2M PADRÃO GOINFRA</t>
  </si>
  <si>
    <t>ALAMBRADO COM POSTE DE CONCRETO E CINTA ARMADA PADRÃO GOINFRA</t>
  </si>
  <si>
    <t>CERCA PROVISÓRIA EM MADEIRA ROLIÇA ( EUCALIPTO SEM TRATAMENTO) H = 1,70M, COM 9 FIOS DE ARAME FARPADO - POSTE ESTICADOR A CADA 25 M E ESPAÇAMENTO ENTRE POSTES = 2,50 M</t>
  </si>
  <si>
    <t xml:space="preserve">  m     </t>
  </si>
  <si>
    <t>CERCA EM MADEIRA ROLIÇA (EUCALIPTO COM TRATAMENTO ) COM H=1,70 M E 9 FIOS DE ARAME FARPADO - POSTE ESTICADOR A CADA 25 M  E ESPAÇAMENTO ENTRE POSTES = 2,50 M</t>
  </si>
  <si>
    <t xml:space="preserve">270720 </t>
  </si>
  <si>
    <t>GRADIL EM AÇO GALVANIZADO, ELETROSOLDADO, COM PINTURA ELETROSTÁTICA EM POLIÉSTER, MALHA 5X20 CM; FIO 5,0 MM, L=2,50 M E H = 2,03 M - NYLOFOR OU EQUIVALENTE</t>
  </si>
  <si>
    <t>MASTROS PARA BANDEIRAS EM  FERRO GALVANIZADO (ASSENTADOS/PINTADOS) -  3 UNIDADES</t>
  </si>
  <si>
    <t>PLACA DE INAUGURAÇÃO AÇO ESCOVADO 60 X 120 CM</t>
  </si>
  <si>
    <t>PLACA DE INAUGURAÇÃO EM DURALUMÍNIO 42 X 60 CM</t>
  </si>
  <si>
    <t>PLACA DE INAUGURAÇÃO EM DURALUMÍNIO 80 X 60 CM</t>
  </si>
  <si>
    <t>PLACA INAUGURACAO ACO INOXIDAVEL  (60X40)</t>
  </si>
  <si>
    <t>PLACA INAUGURACAO ACO INOXIDAVEL (40 X 25)</t>
  </si>
  <si>
    <t>PLACA DE INAUGURACAO ACO ESCOVADO 42X60 CM</t>
  </si>
  <si>
    <t>PLACA DE INAUGURACAO ACO ESCOVADO 80 X 60 CM</t>
  </si>
  <si>
    <t>OBELISCO PARA PLACA DE INAUGURAÇÃO - PADRÃO GOINFRA</t>
  </si>
  <si>
    <t>SUPORTE PADRÃO PARA TABELA BASQUETE EM "U" ENRIJECIDO- 2 UNID. (ASSENTADOS/PINTADOS)</t>
  </si>
  <si>
    <t>SUPORTE ARTICULÁVEL EM TUBO INDUSTRIAL PARA TABELA BASQUETE (ASSENT./PINTADOS)- 2 UNID.</t>
  </si>
  <si>
    <t>SUPORTE EM TUBO INDUSTRIAL REMOVÍVEL PARA TABELA DE BASQUETE - 2 UNID.(ASSENT./PINTADOS)</t>
  </si>
  <si>
    <t>SUPORTE EM FERRO GALVANIZADO REMOVÍVEL PARA TABELA BASQUETE (ASSENT./PINTADOS) - 2 UNID.</t>
  </si>
  <si>
    <t xml:space="preserve">TABELA PARA BASQUETE ESTRUT. METÁLICA E MADEIRA DE LEI ASSENT./PINTADAS COM ARO FLEXÍVEL - 2 UNID. </t>
  </si>
  <si>
    <t>TABELA PARA BASQUETE ESTRUTURA METÁLICA E COMPENSADO (ASSENT./PINTADAS) ARO METÁLICO - 2 UNID.</t>
  </si>
  <si>
    <t>TABELA PARA BASQUETE ESTRUTURA METÁLICA COMPENSADO (ASSENT./PINTADAS) ARO FLEXÍVEL - 2 UNID.</t>
  </si>
  <si>
    <t>TRAVES FERRO GALVANIZADO PARA FUTEBOL DE SALÃO PINTADAS - 3,00 x 2,00M - 2 UNID.</t>
  </si>
  <si>
    <t>TABELA PARA BASQUETE ESTRUTURA METÁLICA MADEIRA DE LEI (ASSENT./PINTADAS) ARO METÁLICO - 2 UNID.</t>
  </si>
  <si>
    <t>CONJUNTO PARA VOLEIBOL EM FERRO GALVANIZADO COM PINTURA (2 SUPORTES)</t>
  </si>
  <si>
    <t>TRAVES EM FERRO GALVANIZADO PARA CAMPO DE FUTEBOL (ASSENT./PINTADAS) 7,32X2,44M - 2 UNID.</t>
  </si>
  <si>
    <t>TRAVES EM FERRO GALVANIZADO PARA CAMPO DE FUTEBOL EM AREIA (ASSENT./PINTADAS) 2,00X5,00M - 2 UNID.</t>
  </si>
  <si>
    <t>QUADRO DE GIZ (5,0X1,20 M C/EMBOÇO PINTURA COMPLETO)</t>
  </si>
  <si>
    <t>QUADRO DE GIZ (1,36 X 6,20) ESC. 20 SALAS</t>
  </si>
  <si>
    <t>QD.GIZ EMBOCO/LAM.MELAMINICO COMPL.-ESC.2000 6,87X1,39M</t>
  </si>
  <si>
    <t>QUADRO DE GIZ EMBOÇO/PINTURA COMPLETO</t>
  </si>
  <si>
    <t xml:space="preserve">BANCO DE CONCRETO POLIDO BASE EM ALVENARIA REBOCADA E PINTADA - PADRÃO GOINFRA </t>
  </si>
  <si>
    <t>BANCADA DE ARDOSIA POLIDA</t>
  </si>
  <si>
    <t>BASE DE BANCADA REBOCADA</t>
  </si>
  <si>
    <t>BASE DE BANCADA REV.COM CERAMICA</t>
  </si>
  <si>
    <t xml:space="preserve">BANCO CONCRETO POLIDO BASE EM ALVENARIA TIJOLO APARENTE PINTADA - PADRÃO GOINFRA </t>
  </si>
  <si>
    <t>MICTORIO ACO INOX SOBRE COCHO DE CONCRETO (SEM INST.H.SANIT.)</t>
  </si>
  <si>
    <t>LAVATORIO ACO INOX SOBRE COCHO DE CONCRETO (SEM INST.H.SANIT.)</t>
  </si>
  <si>
    <t>CANALETA CONCRETO DESEMPENADO 5 CM PADRÃO GOINFRA (MEIA CANA)</t>
  </si>
  <si>
    <t>CAFE DA MANHA</t>
  </si>
  <si>
    <t xml:space="preserve">RE    </t>
  </si>
  <si>
    <t>CANTINA - (OBRAS CIVIS)</t>
  </si>
  <si>
    <t>BEBEDOURO PARA 6 TORNEIRAS REVESTIDO COM CERÂMICA ( EXCLUSO AS INSTALAÇÕES HIDROSSANITÁRIAS)</t>
  </si>
  <si>
    <t>BEBEDOURO REVESTIDO COM CERÂMICA CRIANÇA/ADULTO - NICHO (SEM INST.H.SANIT.)</t>
  </si>
  <si>
    <t>BEBEDOURO REVESTIDO COM CERÂMICA ADULTO/CRIANÇA PAREDE(SEM INST.H.SANIT.)</t>
  </si>
  <si>
    <t>SUPORTE PARA BANCADA EM FERRO "T" 1/8" X 1 1/4"</t>
  </si>
  <si>
    <t>BANCADA DE GRANITO C/ESPELHO</t>
  </si>
  <si>
    <t>BANCADA DE CONCRETO POLIDO</t>
  </si>
  <si>
    <t>BANCADA DE GRANITINA</t>
  </si>
  <si>
    <t>BANCADA DE MARMORE</t>
  </si>
  <si>
    <t>MEIO FIO 7X20X100CM PD. GOINFRA EM ALVEN.TIJOLO COMUM 1/4 V. REBOCADO(1CI:3ARMLC), PINT. A CAL 2 DEMÃOS (INCLUSO ESCAV./APILOAM./REAT. E CONC. FC28 = 10MPA P/ ASSENTAM./CHUMBAMENTO)</t>
  </si>
  <si>
    <t xml:space="preserve">MEIO FIO PD. GOINFRA EM CONC. PRÉ MOLD. RETO/CURVO (9v12X25X100CM), C/ SARJETA (13X10v12CM)FC28=20MPA COM ARGAM.(1CI:3ARMLC) P/ARREMATE DO REJUNT. - INCLUSO ESCAV./APILOAM./REATERRO E CONC.FC28= 10MPA P/ ASSENTAM. E CHUMBAMENTO  </t>
  </si>
  <si>
    <t>MEIO FIO PD. GOINFRA EM CONC. PRÉ MOLD. RETO/CURVO (9v12X25X100CM), C/ SARJETA (13X10v12CM)FC28=30MPA COM ARGAM.(1CI:3ARMLC) P/ARREMATE DO REJUNT. - INCLUSO ESCAV./APILOAM./REATERRO E CONC.FC28= 10MPA P/ ASSENTAM. E CHUMBAMENTO</t>
  </si>
  <si>
    <t xml:space="preserve">MEIO FIO PD. GOINFRA EM CONC. PRÉ MOLD. RETO/CURVO (9v12X30X100CM),  FC28=30MPA COM ARGAM.(1CI:3ARMLC) P/ARREMATE DO REJUNT. - INCLUSO ESCAV./APILOAM./REATERRO E CONC.FC28= 10MPA P/ ASSENTAM. E CHUMBAMENTO </t>
  </si>
  <si>
    <t xml:space="preserve">MEIO FIO PD. GOINFRA EM CONC. PRÉ MOLD. RETO/CURVO (5X25X100CM),  FC28=20MPA COM ARGAM.(1CI:3ARMLC) P/ARREMATE DO REJUNT. E PINTURA A CAL 2 DEMÃOS - INCLUSO ESCAV./APILOAM./REATERRO E CONC.FC28= 10MPA P/ ASSENTAM. E CHUMBAMENTO </t>
  </si>
  <si>
    <t xml:space="preserve">MEIO FIO PD. GOINFRA EM CONC. PRÉ MOLD. RETO/CURVO (9v12X30X100CM), FC28=20MPA  COM ARGAM.(1CI:3ARMLC) P/ARREMATE DO REJUNT. - INCLUSO  ESCAV./APILOAM./REATERRO E CONC.FC28= 10MPA P/ ASSENTAM. E CHUMBAMENTO </t>
  </si>
  <si>
    <t>CANTONEIRA ARDOSIA POLIDA 2 REGUAS BOLEADAS</t>
  </si>
  <si>
    <t>CANTONEIRA MARMORE E REGUAS BOLEADAS</t>
  </si>
  <si>
    <t>CANTONEIRA GRANITO REGUAS BOLEADAS</t>
  </si>
  <si>
    <t>LADRILHO HIDRAULICO COR NATURAL (SEM LASTRO)</t>
  </si>
  <si>
    <t>LADRILHO HIDRAULICO DE UMA COR (SEM LASTRO)</t>
  </si>
  <si>
    <t>LADRILHO HIDRAULICO DE DUAS CORES (SEM LASTRO)</t>
  </si>
  <si>
    <t>LETRA CAIXA CHAPA GALVANIZADA PINTADA COLOCADA</t>
  </si>
  <si>
    <t>LETRA CAIXA INOX COLOCADA</t>
  </si>
  <si>
    <t>LETRA CAIXA INOX ESCOVADO COLOCADA</t>
  </si>
  <si>
    <t>LETRA  CAIXA LATAO AMARELO COLOCADA</t>
  </si>
  <si>
    <t xml:space="preserve">271900 </t>
  </si>
  <si>
    <t>CUSTO MÉDIO DE CONSTRUÇÃO GOINFRA PARA CÁLCULO DE "ÁREA VIRTUAL"</t>
  </si>
  <si>
    <t>MEMORIAL DESCRITIVO</t>
  </si>
  <si>
    <t>DECRIÇÃO DOS SERVIÇOS</t>
  </si>
  <si>
    <t>DEMOLIÇÃO MANUAL - COBERTURA TELHA METÁLICA C/ TRANSP. ATÉ CB. E CARGA</t>
  </si>
  <si>
    <t>DEMOLICAO MANUAL COBERTURA TELHA CERAMICA C/ TRANSP. ATÉ CB. E CARGA</t>
  </si>
  <si>
    <t>DEMOLIÇÃO MANUAL ESTRUTURA EM MADEIRA TELHADO C/ TRANSP. ATÉ CB. E CARGA</t>
  </si>
  <si>
    <t>DEMOLIÇÃO MANUAL DE RIPA C/ TRANSP. ATÉ CB. E CARGA</t>
  </si>
  <si>
    <t>DEMOLIÇÃO MANUAL FORRO PAULISTA  C/TRANSP.ATÉ CB.E CARGA</t>
  </si>
  <si>
    <t>REMOÇÃO MANUAL DE JANELA OU PORTAL C/ TRANSP. ATÉ CB. E CARGA</t>
  </si>
  <si>
    <t xml:space="preserve">CORTE/DESTOC./RETIRADA/REATERRO (MANUAIS) DE ÁRVORE GRANDE PORTE ( H = 8 A 10 M / DIÂMETRO TRONCO 60 A 70CM E COPA DE 10 A 13M ) C/TRANSP.ATE CB. E CARGA </t>
  </si>
  <si>
    <t>DEMOLIÇÃO MANUAL PISO/VIGA DE MAD.C/TRANSPORTE ATE CB. E CARGA</t>
  </si>
  <si>
    <t>DEMOLIÇÃO MANUAL DE PISO CIMENT.SOBRE LASTRO CONC.C/TR.ATE CB. E CARGA</t>
  </si>
  <si>
    <t>DEMOLIÇÃO MANUAL DE PISO LADRILHO/HIDRAUL.C/TR.ATE CB. E CARGA</t>
  </si>
  <si>
    <t>DEMOLIÇÃO MANUAL DE PISO CERÂMICO SOBRE LASTRO CONC.C/TR.CB.E CARGA</t>
  </si>
  <si>
    <t>DEMOLIÇÃO MANUAL DE PISO CERÂMICO INCLUSIVE RETIRADA DE CONTRAPISO SOBRE LASTRO CONC.C/TR.CB.E CARGA</t>
  </si>
  <si>
    <t>DEMOLIÇÃO MANUAL DE ASSOALHO DE MADEIRA C/TRANSP.ATÉ CB.E CARGA</t>
  </si>
  <si>
    <t>DEMOLIÇÃO MANUAL DE REVESTIMENTOS COM AZULEJO C/TRANSP.ATE CB. E CARGA</t>
  </si>
  <si>
    <t>DEMOLIÇÃO MANUAL DE REVESTIMENTO C/ARGAMASSA C/TR.ATE CB.E CARGA</t>
  </si>
  <si>
    <t>DEMOLIÇÃO MANUAL ALVENARIA TIJOLO S/REAP. C/TR.ATE CB. E CARGA</t>
  </si>
  <si>
    <t>DEMOLICÃO MANUAL DE ALVENARIA TIJOLO C/REAPROVEITAMENTO</t>
  </si>
  <si>
    <t>DEMOLIÇÃO MANUAL EM CONCRETO SIMPLES C/TR.ATE CB.E CARGA (O.C.)</t>
  </si>
  <si>
    <t>DEMOLIÇÃO MANUAL DE LAJE PRÉ-MOLDADA C/TR.ATE CB.E CARGA</t>
  </si>
  <si>
    <t>DEMOLICÃO MANUAL PISO INTERTRAVADO C/ EMPILHAMENTO</t>
  </si>
  <si>
    <t>DEMOLIÇÃO MANUAL DE LAJE CONC. ARMADO C/TR.ATE CB.E CARGA (OC)</t>
  </si>
  <si>
    <t>DEMOLIÇÃO MANUAL DE PILAR CONC.ARMADO C/TR.ATE CB.E CARGA(OC)</t>
  </si>
  <si>
    <t>DEMOLIÇÃO MANUAL DE VIGA CONC. ARMADO C/TR.ATE CB. E CARGA</t>
  </si>
  <si>
    <t>DEMOLIÇÃO MANUAL DE ALAMBRADO - POSTE CONCRETO/TELA/VIGA COM TR. ATE CB. E CARGA</t>
  </si>
  <si>
    <t>DEMOLIÇÃO MANUAL DE FORRO TIPO PACOTE/ESTRUTURA C/TR.ATE CB. E CARGA</t>
  </si>
  <si>
    <t>DEMOLIÇÃO MANUAL DE PISO CARPETE C/TRANSP.ATE CB. E CARGA</t>
  </si>
  <si>
    <t>DEMOLIÇÃO MANUAL DE PISO VINÍLICO C/TRANSP.ATE CB. E CARGA</t>
  </si>
  <si>
    <t>DEMOLIÇÃO MANUAL DE FORRO GESSO C/ TRANSP. ATÉ CB.E CARGA</t>
  </si>
  <si>
    <t>DEMOLIÇÃO MANUAL ESTRUT. EM METALON PARA FORRO DE GESSO C/TR.CB E CARGA</t>
  </si>
  <si>
    <t>DEMOLIÇÃO MANUAL DE CAIBRO E RIPA C/ TRANSP. ATÉ CB. E CARGA</t>
  </si>
  <si>
    <t>REMOÇÃO MANUAL DE BACIA SANITÁRIA C/ TRANSP. ATÉ CB. E CARGA</t>
  </si>
  <si>
    <t>REMOÇÃO MANUAL DE LAVATÓRIO C/ TRANSP. ATÉ CB. E CARGA</t>
  </si>
  <si>
    <t>DEMOLIÇÃO MANUAL DE BANCADA C/ TRANSP. ATÉ CB. E CARGA</t>
  </si>
  <si>
    <t>REMOÇÃO MANUAL DE METAL SANITÁRIO (VÁLVULAS/SIFÃO/REGISTROS/TORNEIRAS/OUTROS) C/ TRANSP. ATÉ CB. E CARGA</t>
  </si>
  <si>
    <t>REMOÇÃO DE CAIXA DESCARGA EXTERNA C/ TRANSP. ATÉ CB. E CARGA</t>
  </si>
  <si>
    <t>DEMOLIÇÃO MANUAL MEIO FIO SEM REAPROV.C/TR.ATE CB. E CARGA</t>
  </si>
  <si>
    <t xml:space="preserve">DEMOLIÇÃO MANUAL DE PAVIM. ASFÁLTICO C/TR.ATE CB. E CARGA </t>
  </si>
  <si>
    <t>REMOÇÃO MANUAL DE BACIA TURCA C/ TRANSP. ATÉ CB. E CARGA</t>
  </si>
  <si>
    <t>REMOÇÃO MANUAL DE MICTÓRIO C/ TRANSP. ATÉ CB. E CARGA</t>
  </si>
  <si>
    <t>DEMOLIÇÃO MANUAL DE FORRO PVC  INCLUSIVE ESTRUTURA DE SUSTENTAÇÃO C/ TRANSP. ATÉ CB. E CARGA</t>
  </si>
  <si>
    <t>DEMOLIÇÃO MANUAL DE DIVISÓRIA PAINEL PRÉ-FABRIC. C/ REAPROVEITAMENTO</t>
  </si>
  <si>
    <t>DEMOLIÇÃO MANUAL DE DIVISÓRIA EM PEDRA/CONC.C/TRANSP. ATÉ CB. CARGA</t>
  </si>
  <si>
    <t>DEMOLIÇÃO MANUAL EM MURO/PAREDE PLACA PRÉ-MOLDADA C/TRANSP. ATÉ CB. E CARGA</t>
  </si>
  <si>
    <t>DEMOLIÇÃO MANUAL DE CALHA/RUFO EM CHAPA C/TR.ATÉ CB. E CARGA</t>
  </si>
  <si>
    <t>DEMOLIÇÃO MANUAL DE TELA DE ALAMBRADO C/ TRANSP. ATÉ CB. E CARGA</t>
  </si>
  <si>
    <t>REMOÇÃO MANUAL DE TUBULAÇÃO (TUBO E CONEXÃO)  C/ TRANSP. ATÉ CB. E CARGA (EXCLUSO RASGOS E ESCAVAÇÕES)</t>
  </si>
  <si>
    <t>REMOÇÃO MANUAL DE FIO/CABO ELÉTRICO C/ TRANSP. ATÉ CB. E CARGA</t>
  </si>
  <si>
    <t>REMOÇÃO MANUAL DE ELETRODUTO (ELETRODUTO E CONEXÃO)  C/ TRANSP. ATÉ CB. E CARGA (EXCLUSO RASGOS E ESCAVAÇÕES)</t>
  </si>
  <si>
    <t xml:space="preserve">REMOÇÃO MANUAL DE LUMINÁRIA C/ TRANSP. ATÉ CB. E CARGA </t>
  </si>
  <si>
    <t xml:space="preserve">REMOÇÃO MANUAL DE INTERRUPTOR/TOMADA ELÉTRICA/DISJUNTOR C/ TRANSP. ATÉ CB. E CARGA </t>
  </si>
  <si>
    <t>LIMPEZA MECANICA DE TERRENO</t>
  </si>
  <si>
    <t>LOCAÇÃO DE OBRAS DE PEQUENO PORTE COM CAVALETE, INCLUSO PINTURA ( FACE INTERNA DO SARRAFO 10CM) E PIQUETE COM TESTEMUNHA</t>
  </si>
  <si>
    <t>LOCAÇÃO DE PRAÇA, QUADRA, IMPLANTAÇÃO UTILIZANDO CAVALETE, INCLUSO PIQUETE COM TESTEMUNHA</t>
  </si>
  <si>
    <t>REVESTIMENTO DE POCOS (CISTERNA) C/TUBOS</t>
  </si>
  <si>
    <t>EPI/PCMAT/PCMSO/EXAMES/TREINAMENTOS/VISITAS (&gt;= 20 EMPREGADOS) - ÁREAS EDIFICADAS/COBERTAS/FECHADAS</t>
  </si>
  <si>
    <t>EPI/PPRA/PCMSO/EXAMES/TREINAMENTOS/VISITAS (&lt; 20 EMPREGADOS) - ÁREAS EDIFICADAS/COBERTAS/FECHADAS</t>
  </si>
  <si>
    <t>SERVICO EM TERRA</t>
  </si>
  <si>
    <t>ESC.CAMPO ABERTO C/TRANP.MANUAL DE TERRA(OC)</t>
  </si>
  <si>
    <t>ATERRO INTERNO SEM APILOAM.C/TR.EM CARRINHO MÃO</t>
  </si>
  <si>
    <t>SONDAGENS P/INTERIOR - (OBRAS CIVIS)</t>
  </si>
  <si>
    <t>TRANSPORTE EQUIPAMENTOS P/SONDAGEM ( INCLUSO NO VALOR O RETORNO)</t>
  </si>
  <si>
    <t>SONDAGENS P/GOIANIA - (OBRAS CIVIS)</t>
  </si>
  <si>
    <t>REATERRO C/APILOAMENTO (BLOCOS/SAPATAS)</t>
  </si>
  <si>
    <t>REATERRO C/APILOAMENTO MECÂNICO (BLOCOS/SAPATAS)</t>
  </si>
  <si>
    <t>FORMA TABUA PINHO P/FUNDACOES U=3V - (OBRAS CIVIS)</t>
  </si>
  <si>
    <t>PREPARO COM BETONEIRA E TRANSPORTE MANUAL  DE CONCRETO FCK-15 - (O.C.)</t>
  </si>
  <si>
    <t>PREPARO COM BETONEIRA E TRANSPORTE MANUAL DE CONCRETO FCK-20  - (O.C.)</t>
  </si>
  <si>
    <t>CONCRETO USINADO BOMBEAVEL FCK-15  - (O.C.)</t>
  </si>
  <si>
    <t>CONCRETO USINADO CONVENCIONAL FCK-15 COM TRANSPORTE MANUAL - (O.C.)</t>
  </si>
  <si>
    <t>FORMA CHAPA COMPENSADA 6 MM U=3V ( PARA PLACAS/TAMPAS E DIVISÓRIAS PRÉMOLDADAS EM CONCRETO)</t>
  </si>
  <si>
    <t>FORMA CURVA C/TABUA E CH.COMPENSADO U=2 V - (O.C.)</t>
  </si>
  <si>
    <t>FORMA-TABUA C/REAPROV. 2 VEZES - (OBRAS CIVIS)</t>
  </si>
  <si>
    <t>FORMA- CH.COMPENSADA 12 MM UTILIZAÇÃO 3 VEZES - (OBRAS CIVIS)</t>
  </si>
  <si>
    <t>FORMA - CH.COMPENSADA 17MM PLAST REAP 4 V.-(OBRAS CIVIS)</t>
  </si>
  <si>
    <t>FORMA - CH.COMPENSADA 17MM PLAST REAP 7 V. - (OBRAS CIVIS</t>
  </si>
  <si>
    <t>FORMA CH.COMPENSADA 12MM-VIGA/PILAR U=1V - (OBRAS CIVIS</t>
  </si>
  <si>
    <t>FORMA CH.COMPENSADA 12MM-VIGA/PILAR U=2V - (OBRAS CIVIS</t>
  </si>
  <si>
    <t>FORMA CH.COMPENSADA 12MM-VIGA/PILAR U=3V - (OBRAS CIVIS</t>
  </si>
  <si>
    <t>FORMA CH.COMPENSADA 12MM-VIGA/PILAR U=4V - (OBRAS CIVIS</t>
  </si>
  <si>
    <t>FORMA CH.COMPENSADA PLASTIF. 12MM-U=5V - (OBRAS CIVIS)</t>
  </si>
  <si>
    <t>FORMA CH.COMPENSADA PLASTIF.12MM-VIGA/PILAR U=3V-(O.C.)</t>
  </si>
  <si>
    <t>FORMA CH.COMPENSADA PLASTIF.12MM-VIGA/PILAR U=2V-(O.C.)</t>
  </si>
  <si>
    <t>FORMA CH.COMPENSADA PLASTIF.12 MM-VIGA/PILAR U=1V-(O.C)</t>
  </si>
  <si>
    <t>CONCRETO USINADO BOMBEÁVEL FCK-15 - (O.C.)</t>
  </si>
  <si>
    <t>CONCRETO USINADO CONVENCIONAL FCK-20 COM TRANSPORTE MANUAL- (O.C.)</t>
  </si>
  <si>
    <t>CONCRETO USINADO CONVENCIONAL  FCK-15  COM TRANSPORTE MANUAL - (O.C.)</t>
  </si>
  <si>
    <t>FORRO EM LAJE PRE-MOLDADA INC.CAPEAMENTO/FERR.DISTRIB./ESCORAMENTO E FORMA/DESFORMA</t>
  </si>
  <si>
    <t>PISO EM LAJE PRÉ-MOLDADA INC. CAPEAMENTO/FERR.DISTRIB./ESCORAMENTO E FORMA/DESFORMA</t>
  </si>
  <si>
    <t>MURO ARRIMO PADRÃO GOINFRA EM CANALETA SEM REVESTIMENTO-(COM ALTURA ATÉ 2,50M)-INCLUSO FUNDAÇÃO</t>
  </si>
  <si>
    <t>APLICAÇÃO, COM POSTERIOR REMOÇÃO COM JATO DE ÁGUA, DE ÁCIDO MURIÁTICO (1:20) E APLICAÇÃO, COM POSTERIOR REMOÇÃO COM JATO DE ÁGUA, DE AMÔNIA (1:14)</t>
  </si>
  <si>
    <t>ALCA PREFORMADA DE DISTRIBUICAO</t>
  </si>
  <si>
    <t xml:space="preserve">ANEL GUIA No. 2 </t>
  </si>
  <si>
    <t>ARAME DE AÇO GALVANIZADO No. 12 BWG</t>
  </si>
  <si>
    <t>BLOCO TELEFONICO BLI-10 C/CANALETA</t>
  </si>
  <si>
    <t>BOTOEIRA "LIGA-DESLIGA" DE EMBUTIR</t>
  </si>
  <si>
    <t>BOTOEIRA "LIGA-DESLIGA" P/INST.EM PORTA  DE QUADRO</t>
  </si>
  <si>
    <t>BRAÇADEIRA METÁLICA CIRCULAR 2" C/CHUMBADOR</t>
  </si>
  <si>
    <t>BUCHA P/TIJOLO FURADO S-6</t>
  </si>
  <si>
    <t>BUCHA P/TIJOLO FURADO S-8</t>
  </si>
  <si>
    <t>BUCHA P/TIJOLO FURADO S-10</t>
  </si>
  <si>
    <t>m</t>
  </si>
  <si>
    <t>CABO EPR/XLPE (90°C) 1 KV - 16 MM2</t>
  </si>
  <si>
    <t>CABO EPR/XLPE (90°C) 1 KV - 25 MM2</t>
  </si>
  <si>
    <t>CABO EPR/XLPE (90°C) 1 KV - 50 MM2</t>
  </si>
  <si>
    <t>CABO EPR/XLPE (90°C) 1 KV - 95 MM2</t>
  </si>
  <si>
    <t>CABO EPR/XLPE (90ºC) 1 KV - 120 MM2</t>
  </si>
  <si>
    <t>CABO EPR/XLPE (90°C) 1 KV - 150 MM2</t>
  </si>
  <si>
    <t>CABO DE ALUMÍNIO 2 CA</t>
  </si>
  <si>
    <t>CABO DE COBRE NU No. 10 MM2 (11,11M /KG)</t>
  </si>
  <si>
    <t>CABO DE COBRE NU No. 16 MM2 (6,94 M/KG)</t>
  </si>
  <si>
    <t>CABO DE COBRE NU No. 25 MM2 (4,73 M /KG)</t>
  </si>
  <si>
    <t>CABO DE COBRE NÚ No. 35 MM2</t>
  </si>
  <si>
    <t>CABO DE COBRE NÚ No. 50 MM2</t>
  </si>
  <si>
    <t>CABO DE COBRE NÚ No. 70 MM2</t>
  </si>
  <si>
    <t>CABO DE COBRE NÚ No. 95 MM2</t>
  </si>
  <si>
    <t>CABO FLEXIVEL PARALELO 2 X 1 MM2</t>
  </si>
  <si>
    <t>CABO ISOLADO PVC 750 V. No. 2,5 MM2</t>
  </si>
  <si>
    <t>CABO ISOLADO PVC 750 V. No. 4 MM2</t>
  </si>
  <si>
    <t>CABO ISOLADO PVC 750 V. No. 6 MM2</t>
  </si>
  <si>
    <t>CABO ISOLADO PVC 750 V. No. 10 MM2</t>
  </si>
  <si>
    <t>CABO ISOLADO PVC 750 V, No. 16 MM2</t>
  </si>
  <si>
    <t>CABO ISOLADO PVC 750 V, No. 25 MM2</t>
  </si>
  <si>
    <t>CABO ISOLADO PVC 750 V, No. 35 MM2</t>
  </si>
  <si>
    <t>CABO PVC (70ºC) 1 KV No 1,5 MM2</t>
  </si>
  <si>
    <t>CABO PVC (70ºC) 1 KV No. 2,5 MM2</t>
  </si>
  <si>
    <t>CABO PVC (70ºC) 1 KV No. 4 MM2</t>
  </si>
  <si>
    <t>CABO PVC (70ºC) 1 KV No. 6 MM2</t>
  </si>
  <si>
    <t>CABO PVC (70ºC) 1 KV No. 10 MM2</t>
  </si>
  <si>
    <t>CABO PVC (70ºC) 1 KV No. 16 MM2</t>
  </si>
  <si>
    <t>CABO PVC (70ºC) 1 KV No. 25 MM2</t>
  </si>
  <si>
    <t>CABO PVC (70ºC) 1 KV No. 35 MM2</t>
  </si>
  <si>
    <t>CABO PVC (70ºC) 1 KV No. 50 MM2</t>
  </si>
  <si>
    <t>CABO PVC (70ºC) 1 KV No. 70 MM2</t>
  </si>
  <si>
    <t>CABO PVC (70ºC) 1 KV No. 95 MM2</t>
  </si>
  <si>
    <t>CABO PVC (70ºC) 1 KV No. 120 MM2</t>
  </si>
  <si>
    <t>CABO PVC (70ºC) 1 KV No. 150 MM2</t>
  </si>
  <si>
    <t>CABO PVC (70ºC) , 1 KV, No. 185 MM2</t>
  </si>
  <si>
    <t>CABO PVC (70ºC) 1 KV No. 300 MM2</t>
  </si>
  <si>
    <t>CABO TELEFON. CTP-APL-50 DE 10 PARES (USO EXTERNO)</t>
  </si>
  <si>
    <t>CABO TELEFON. CTP-APL-50 DE 30 PARES (USO EXTERNO)</t>
  </si>
  <si>
    <t>CAIXA MET.HEXAGONAL P/ARANDELA (SEXTAVADA 3"X3")</t>
  </si>
  <si>
    <t>CAIXA METALICA OCTOGONAL FUNDO MOVEL, SIMPLES 2"</t>
  </si>
  <si>
    <t>CAIXA METALICA OCTOGONAL FUNDO MOVEL,DUPLA 4"</t>
  </si>
  <si>
    <t>CERTIFICADO DIGITAL</t>
  </si>
  <si>
    <t>CHAVE PARTIDA MOTOR TRIF.C/RELE FALTA DE FASE 3 CV</t>
  </si>
  <si>
    <t>CHAVE PARTIDA MOTOR TRIF.C/RELE FALTA DE FASE 15 CV</t>
  </si>
  <si>
    <t>CHAVE PARTIDA MOTOR TRIF.C/RELE FALTA DE FASE 20CV</t>
  </si>
  <si>
    <t>CHAVE REVERSORA ROTATIVA (COMUTAD.) TRIPOLAR 100</t>
  </si>
  <si>
    <t>CHAVE TRIPOLAR PACCO 100-A</t>
  </si>
  <si>
    <t>CHUMBADOR P/CANTONEIRA D = 1/4"</t>
  </si>
  <si>
    <t>CHUMBADOR P/CANTONEIRA D = 3/8"</t>
  </si>
  <si>
    <t>CONECTOR PARAL. ALUM.EXTRUD.CA-CU-10,0D.10-2-1 PARAF.</t>
  </si>
  <si>
    <t>CONECTOR RJ-45 CAT. 6</t>
  </si>
  <si>
    <t>CONTATOR 3 TF 40 - 9A</t>
  </si>
  <si>
    <t>CONTATOR 3 TF 41 - 12A</t>
  </si>
  <si>
    <t>CONTATOR 3 TF 42 - 16A</t>
  </si>
  <si>
    <t>CONTATOR 3 TF 43 - 25A</t>
  </si>
  <si>
    <t>CONTATOR 3 TF 44 - 32A</t>
  </si>
  <si>
    <t>CONTATOR 3 TF 45 - 45A</t>
  </si>
  <si>
    <t>CONTATOR 3 TF 47 - 63A</t>
  </si>
  <si>
    <t>CONTATOR 3 TF 48 - 75A</t>
  </si>
  <si>
    <t>CRUZETA HORIZONTAL 90º P/ELETROCALHA 50X50 MM</t>
  </si>
  <si>
    <t>DIMMER ROTATIVO SIMPLES</t>
  </si>
  <si>
    <t>ELETROCALHA CH.Aº PRE ZN. FOGO "C" C/ABAS 50X50 MM S/TAMPA</t>
  </si>
  <si>
    <t>ESTICADOR P/CABO DE AÇO 1/4"</t>
  </si>
  <si>
    <t>EMENDA INTERNA P/ELETROCALHA (50 X 50 mm)</t>
  </si>
  <si>
    <t>FIO DE COBRE NU No. 2,5 MM2 (45,05M /KG)</t>
  </si>
  <si>
    <t>FIO DE COBRE NU No. 4 MM2 (28,00 M/KG)</t>
  </si>
  <si>
    <t>FIO DE COBRE NU No. 6 MM2 (18,00 M/KG)</t>
  </si>
  <si>
    <t>FIO DE COBRE NU No. 10 MM2 (11,00 M/KG)</t>
  </si>
  <si>
    <t>FIO ISOLADO PVC 750 V,  No. 1,5 MM2</t>
  </si>
  <si>
    <t>FIO ISOLADO PVC 750 V, No. 2,5 MM2</t>
  </si>
  <si>
    <t>FIO ISOLADO PVC 750 V, No. 4 MM2</t>
  </si>
  <si>
    <t>FIO ISOLADO PVC 750 V, No. 6 MM2</t>
  </si>
  <si>
    <t>FIO ISOLADO PVC 750 V, No. 10 MM2</t>
  </si>
  <si>
    <t>GRAMPO P/CABO DE AÇO 1/4"</t>
  </si>
  <si>
    <t>IGNITOR S-52 P/LÂMPADA V.MET.2000 W.</t>
  </si>
  <si>
    <t>INTERR.BIPOLAR SIMPLES 25-A(P/CONDIONADOR AR)</t>
  </si>
  <si>
    <t>ISOLADOR BAQUELITA SIMPLES C/SUP.E BRAÇADEIRA MET.1.1/2"</t>
  </si>
  <si>
    <t>ISOLADOR BAQUELITA C/GRAPA  P/CHUMBAR</t>
  </si>
  <si>
    <t>ISOLADOR BAQUELITA C/CHAPA Aº  90º P/FIXAR EM QUINA (2 ISOLADOR)</t>
  </si>
  <si>
    <t>ISOLADOR BAQUELITA EM SUP.MET.P/FIXAR ACIMA TUBO PROTEÇÃO</t>
  </si>
  <si>
    <t>ISOLADOR ROLDANA PORCELANA 72 X 72</t>
  </si>
  <si>
    <t>ISOLADOR ROLDANA PORCELANA 76 X 79</t>
  </si>
  <si>
    <t>LACO PREFORMADO DE DISTRIBUICAO</t>
  </si>
  <si>
    <t>LUMINÁRIA - BASE EM CONCRETO PADRÃO GOINFRA PARA AS LUMINÁRIAS TIPO PROJETOR ( CASO NECESSÁRIO )</t>
  </si>
  <si>
    <t>MURETA MEDIÇÃO ALVEN. 1 1/2 V.(35CM) REBOC.C/PINTURA ACRÍL. E LAJE CONC. 20MPA MALHA 8.0MM CADA 10CM REVEST.C/ARGAMASSA 1:3 C/ IMPERMEABILIZANTE</t>
  </si>
  <si>
    <t>PARAF.ROSCA DUPLA ACO GALVAN.16 X 150 C/ PORCAS</t>
  </si>
  <si>
    <t>SOQUETE ANTIVIBRATORIO P/LAMP.FLUORESCENTE</t>
  </si>
  <si>
    <t>SUPORTE P/TRANSFORM.EM POSTE CONCR.CIRCULAR</t>
  </si>
  <si>
    <t>SUP0RTE VERTICAL P/CANTONEIRA 50 X 50 MM</t>
  </si>
  <si>
    <t>T HORIZONTAL PARA ELETROCALHA 50 X 50 MM</t>
  </si>
  <si>
    <t>T VERTICAL DE DESCIDA PARA ELETROCALHA 50 X 50 MM</t>
  </si>
  <si>
    <t>TRILHO OU SUPORTE P/BORNE TERMINAL</t>
  </si>
  <si>
    <t>TUBO (CARTUCHO) DE FENOLITE</t>
  </si>
  <si>
    <t>V A S O S  S A N I T Á R I O S / A C E S S Ó R I O S</t>
  </si>
  <si>
    <t>VASO SANITARIO</t>
  </si>
  <si>
    <t>VASO SANITÁRIO PARA P.N.E. SEM ABERTURA FRONTAL</t>
  </si>
  <si>
    <t>VASO SANITÁRIO PARA P.N.E. COM CAIXA ACOPLADA COM DUPLO ACIONAMENTO - COMPLETO EXCLUSO O ASSENTO</t>
  </si>
  <si>
    <t xml:space="preserve">VÁLVULA DE DESCARGA PARA P.N.E. COM ACABAMENTO CROMADO ANTIVANDALISMO </t>
  </si>
  <si>
    <t>SIFAO P/LAVATORIO METALICO DIAM.1"X1.1/2"</t>
  </si>
  <si>
    <t>SIFAO P/LAVATORIO PVC DIAM.1"X1.1/2"</t>
  </si>
  <si>
    <t>SIFAO FLEXIVEL UNIVERSAL ( SANFONADO) EM PVC PARA LAVATORIO</t>
  </si>
  <si>
    <t>SIFAO P/LAVATORIO PVC CROMADO DIAM.1"X1.1/2"</t>
  </si>
  <si>
    <t>SIFAO FLEXIVEL UNIVERSAL ( SANFONADO) EM PVC CROMADO PARA LAVATORIO</t>
  </si>
  <si>
    <t>TORNEIRA DE MESA PARA P.N.E. COM FECHAMENTO AUTOMÁTICO TEMPORIZADO PARA LAVATÓRIO DIÂMETRO DE 1/2"</t>
  </si>
  <si>
    <t>VALVULA P/LAVATORIO OU BEBEDOURO METALICO DIAMETRO 1"</t>
  </si>
  <si>
    <t>M I C T Ó R I O S / A C E S S O R I O S</t>
  </si>
  <si>
    <t>KIT FERR.P/MICT.LOUCA (ESPUDE,CONEXÃO ENTR.PARAFUSOS)</t>
  </si>
  <si>
    <t>P I A S / A C E S S Ó R I O S</t>
  </si>
  <si>
    <t>SIFAO P/PIA 1.1/2" X 2" METAL</t>
  </si>
  <si>
    <t>SIFAO PVC P/PIA 1.1/2" X 2"</t>
  </si>
  <si>
    <t>SIFAO P/PIA 1.1/2"X2" PVC CROMADO</t>
  </si>
  <si>
    <t>VALVULA P/PIA TIPO AMERICANA DIAM.3.1/2" (METAL)</t>
  </si>
  <si>
    <t>CHUVEIRO METÁLICO COM BRAÇO METÁLICO ( DUCHA FRIA)</t>
  </si>
  <si>
    <t>FILTRO CENTRAL EM AÇO INOX 304 VAZÃO DE 3.000 L/H / INSTALADO</t>
  </si>
  <si>
    <t>SIFAO P/TANQUE 1" X 1.1/2" - PVC</t>
  </si>
  <si>
    <t>VALVULA P/TANQUE METALICA DIAM.1" S/LADRAO</t>
  </si>
  <si>
    <t>REGISTRO DE GAVETA BRUTO 3"</t>
  </si>
  <si>
    <t>REGISTRO DE GAVETA BRUTO 4"</t>
  </si>
  <si>
    <t>ÁGUA FRIA</t>
  </si>
  <si>
    <t>T U B O S   DE  P V C   S O L D A V E L</t>
  </si>
  <si>
    <t>TUBO SOLDAVEL PVC MARROM DIAMETRO 20 mm</t>
  </si>
  <si>
    <t>TUBO SOLDAVEL PVC MARROM DIAMETRO 25 mm</t>
  </si>
  <si>
    <t>TUBO SOLDAVEL PVC MARROM DIAMETRO 32 mm</t>
  </si>
  <si>
    <t>TUBO SOLDAVEL PVC MARROM DIAM.(40 mm)</t>
  </si>
  <si>
    <t>TUBO SOLDAVEL PVC MARROM DIAMETRO 60 mm (2")</t>
  </si>
  <si>
    <t>TUBO SOLDAVEL PVC MARROM DIAMETRO 75 mm</t>
  </si>
  <si>
    <t>TUBO SOLDAVEL PVC MARROM DIAMETRO 85 mm</t>
  </si>
  <si>
    <t>TUBO SOLDAVEL PVC MARROM DIAMETRO 110 mm</t>
  </si>
  <si>
    <t>A D A P T A D O R E S  D E   P V C    S O L D Á V E L</t>
  </si>
  <si>
    <t>ADAPTAD.PVC SOLD.LONGO C/FLANGES LIVRES P/CX.DAGUA 25X3/4"</t>
  </si>
  <si>
    <t>ADAPTAD.PVC SOLD.LONGO C/FLANGES LIVRES P/CX.DAGUA 32X1"</t>
  </si>
  <si>
    <t>ADAPTAD.PVC SOLD.LONGO C/FLANGES LIVRES P/ CX.DAGUA 50X1.1/2</t>
  </si>
  <si>
    <t>ADAPTAD.PVC SOLD.LONGO C/FLANGES LIVRES P/CX.DAGUA 60X2"</t>
  </si>
  <si>
    <t>ADAPTADOR PVC SOLD.LONGO C/FLANGES LIVRES P/CX.DAGUA 110 X 4"</t>
  </si>
  <si>
    <t>ADAPTAD.SOLD. C/FL.LIVRES P/CX.DAGUA 25X3/4"</t>
  </si>
  <si>
    <t>ADAPTADOR SOLD.C/FLANGES LIVRES P/CX.DAGUA 32X1"</t>
  </si>
  <si>
    <t>ADAPTADOR SOLD.C/FLANGES LIV.P/CX.DAGUA 40X1.1/4"</t>
  </si>
  <si>
    <t>ADAPTAD.SOLD.C/FL.LIVRES P/CX.DAGUA 50X1.1/2"</t>
  </si>
  <si>
    <t>ADAPTAD.SOLD.CURTO C/BOLSA E ROSCA P/REG.20X1/2"</t>
  </si>
  <si>
    <t>ADAPTAD.SOLD.CURTO C/BOLSA/ROSCA P/REG.50X11/2"</t>
  </si>
  <si>
    <t>ADAPTADOR SOLDAVEL CURTO C/BR P/REG. 85 X 3"</t>
  </si>
  <si>
    <t>ADAPTADOR SOLDAVEL CURTO C/BR P/REG. 110 X 4"</t>
  </si>
  <si>
    <t>ADAPTAD.JUNTA ELAST.P/SIFAO METAL.40MM X 1.1/2"</t>
  </si>
  <si>
    <t>LUVA DE REDUCAO SOLDAVEL C/ROSCA 25 X 1/2"</t>
  </si>
  <si>
    <t>LUVA SOLD.C/BUCHA DE LATAO 20 X 1/2" COR AZUL</t>
  </si>
  <si>
    <t>LUVA RED.SOLDAVEL C/BUCHA LATAO DIAM.25 X 1/2"</t>
  </si>
  <si>
    <t>LUVA SOLD.C/BUCHA DE LATAO 25X3/4" COR AZUL</t>
  </si>
  <si>
    <t>BUCHA DE REDUCAO SOLD.CURTA 25 MM X 20 MM</t>
  </si>
  <si>
    <t>BUCHA DE REDUCAO SOLD.CURTA 40 X 32 mm</t>
  </si>
  <si>
    <t>BUCHA DE REDUCAO SOLD.LONGA 32 X 20 mm</t>
  </si>
  <si>
    <t>BUCHA DE REDUCAO SOLD.LONGA 40 X 25</t>
  </si>
  <si>
    <t>JOELHO REDUÇÃO 90º SOLDÁVEL  32 mm X 25 mm</t>
  </si>
  <si>
    <t>JOELHO 90 GRAUS SOLDAVEL/ROSCA DIAM.20 X 1/2"</t>
  </si>
  <si>
    <t>JOELHO 90 GRAUS SOLD./ROSCA 25 X 3/4"</t>
  </si>
  <si>
    <t>JOELHO RED.90 GRAUS SOLD.C/BUCHA LATAO 25X1/2"</t>
  </si>
  <si>
    <t>JOELHO REDUCAO 90 GRAUS SOLD./ROSCA 25 X 1/2"</t>
  </si>
  <si>
    <t>JOELHO 90 GRAUS SOLD.C/BUCHA LATAO 20 X 1/2"</t>
  </si>
  <si>
    <t>JOELHO 90 GRAUS SOLD. C/BUCHA LATAO 25 X 3/4"</t>
  </si>
  <si>
    <t>JOELHO RED.90 GR.C/ROSCA E BUC.LATAO 3/4"X1/2"</t>
  </si>
  <si>
    <t>JOELHO DE REDUCAO 90 GRAUS SOLD.DIAM.25X20MM</t>
  </si>
  <si>
    <t>TE DE REDUCAO 90 GRAUS SOLD.50 X 20 MM</t>
  </si>
  <si>
    <t>TE REDUÇÃO 90º SOLD.C/ROSCA 32 X 32 X 3/4"</t>
  </si>
  <si>
    <t>TE REDUCAO 90 GRAUS SOLD.C/ROSCA 25X25X1/2"</t>
  </si>
  <si>
    <t>TE90 GR.SOLD.C/ROSCA NA BOLSA CENT.25X25X3/4"</t>
  </si>
  <si>
    <t>TE 90 GR.SOLD.C/BUC.LATAO NA BOLSA CENT.20X20X1/2"</t>
  </si>
  <si>
    <t>TE 90 GR.SOLD.C/BUC.LATAO NA BOLSA CENT.25X25X3/4"</t>
  </si>
  <si>
    <t>TE RED.SOLD.90GR.BUC.LATAO BOLSA CENT.25X25X1/2"</t>
  </si>
  <si>
    <t>CURVA 45º DIAMETRO 50 MM</t>
  </si>
  <si>
    <t>BUCHA DE REDUCAO LONGA DIAM. 50 X 40 MM</t>
  </si>
  <si>
    <t>C O R P O  DE C A I X A  S I F O N A D A/R A L O</t>
  </si>
  <si>
    <t>CORPO CX. SIFONADA DIAM. 100 X 100 X 50</t>
  </si>
  <si>
    <t>CORPO CX. SIFONADA DIAM. 100 X 150 X 50</t>
  </si>
  <si>
    <t>CORPO CX. SIFONADA DIAM. 150 X 150 X 50</t>
  </si>
  <si>
    <t>CORPO CX. SIFONADA DIAM. 150 X 185 X 75</t>
  </si>
  <si>
    <t>CORPO CX. SIFONADA DIAM. 250 X 172 X 50</t>
  </si>
  <si>
    <t>CORPO CX. SIFONADA DIAM. 250 X 230 X 75</t>
  </si>
  <si>
    <t>CURVA 45 GRAUS DIAMETRO 40 MM</t>
  </si>
  <si>
    <t>CURVA 45 GRAUS DIAMETRO 100 MM</t>
  </si>
  <si>
    <t>CURVA 90 GRAUS CURTA DIAM. 40 MM</t>
  </si>
  <si>
    <t>CURVA 90 GRAUS CURTA DIAM. 50 MM</t>
  </si>
  <si>
    <t>CURVA 90 GRAUS CURTA DIAM. 75 MM</t>
  </si>
  <si>
    <t>CURVA 90 GRAUS CURTA DIAM. 100 MM</t>
  </si>
  <si>
    <t>CURVA 90 GRAUS LONGA DIAM. 40 MM</t>
  </si>
  <si>
    <t>CURVA 90 GRAUS LONGA DIAM. 50 MM</t>
  </si>
  <si>
    <t>CURVA 90 GRAUS LONGA DIAM. 75 MM</t>
  </si>
  <si>
    <t>CURVA 90 GRAUS LONGA DIAM. 100 MM</t>
  </si>
  <si>
    <t>RES.METALICO TAÇA AÇO PATINÁVEL-V=5M3-COL.SEC.H=6M+FUNDAÇÃO+LOGOTIPO</t>
  </si>
  <si>
    <t>RES.METALICO TAÇA AÇO PATINÁVEL-V=10M3-COL.SEC.H=6M+FUNDAÇÃO+LOGOTIPO</t>
  </si>
  <si>
    <t>RES.METALICO TAÇA AÇO PATINÁVEL-V=15M3-COL.SEC.H=6M+FUNDAÇÃO+LOGOTIPO</t>
  </si>
  <si>
    <t>RES.METALICO TAÇA AÇO PATINÁVEL-V=20M3-COL.SEC.H=6M+FUNDAÇÃO+LOGOTIPO</t>
  </si>
  <si>
    <t>TERMINAL DE VENTILACAO DIAMETRO 50 MM</t>
  </si>
  <si>
    <t>JOELHO 45 GRAUS DIAMETRO 40 MM</t>
  </si>
  <si>
    <t>JOELHO 45 GRAUS DIAMETRO 50 MM</t>
  </si>
  <si>
    <t>JOELHO 45 GRAUS DIAMETRO 75 MM</t>
  </si>
  <si>
    <t>JOELHO 45 GRAUS DIAMETRO 100 MM</t>
  </si>
  <si>
    <t xml:space="preserve">JOELHO 90 GRAUS C/ANEL 40 mm </t>
  </si>
  <si>
    <t>JOELHO 90 GRAUS DIAMETRO 40 MM</t>
  </si>
  <si>
    <t>JOELHO 90 GRAUS DIAMETRO 50 MM</t>
  </si>
  <si>
    <t>JOELHO 90 GRAUS DIAMETRO 75 MM</t>
  </si>
  <si>
    <t>JOELHO 90 GRAUS DIAMETRO 100 MM</t>
  </si>
  <si>
    <t>JUNCAO 45 GRAUS DIAMETRO 40 MM</t>
  </si>
  <si>
    <t>JUNCAO INVERTIDA DIAMETRO 75 X 50 MM</t>
  </si>
  <si>
    <t>JUNCAO SIMPLES DIAMETRO 50 X 50 MM</t>
  </si>
  <si>
    <t>JUNCAO SIMPLES DIAM. 75 X 50 MM</t>
  </si>
  <si>
    <t>JUNCAO SIMPLES DIAMETRO 75 X 75 MM</t>
  </si>
  <si>
    <t>JUNCAO SIMPLES DIAM. 100 X 50 MM</t>
  </si>
  <si>
    <t>JUNCAO SIMPLES DIAMETRO 100 X 75 MM</t>
  </si>
  <si>
    <t>JUNCAO SIMPLES DIAM. 100 X 100 MM</t>
  </si>
  <si>
    <t>LUVA SIMPLES DIAMETRO 40 MM</t>
  </si>
  <si>
    <t>LUVA SIMPLES DIAMETRO 50 MM</t>
  </si>
  <si>
    <t>LUVA SIMPLES DIAMETRO 75 MM</t>
  </si>
  <si>
    <t>LUVA SIMPLES DIAM. 100 MM</t>
  </si>
  <si>
    <t>P O R T A / G R E L H A</t>
  </si>
  <si>
    <t>PORTA GRELHA QUADRADO P/GREL.QUADRADA DIAM. 100 MM</t>
  </si>
  <si>
    <t>PORTA GRELHA QUADRADO P/GRELHA RED.BRANC.100 MM</t>
  </si>
  <si>
    <t>REDUCAO EXCENTRICA 75 X 50 MM</t>
  </si>
  <si>
    <t>REDUCAO EXCENTRICA 100 X 75 MM</t>
  </si>
  <si>
    <t>REDUCAO EXCENTRICA 100 X 50 MM</t>
  </si>
  <si>
    <t>TE DE INSPECAO DIAMETRO 100 X 75 MM</t>
  </si>
  <si>
    <t>TE SANITARIO DIAMETRO 50 X 50 MM</t>
  </si>
  <si>
    <t>TE SANITARIO DIAMETRO 75 X 50 MM</t>
  </si>
  <si>
    <t>TE SANITARIO DIAMETRO 75 X 75 MM</t>
  </si>
  <si>
    <t>TE SANITARIO DIAMETRO 100 X 50 MM</t>
  </si>
  <si>
    <t>TE SANITARIO DIAMETRO 100 X 75 MM</t>
  </si>
  <si>
    <t>TE SANITARIO DIAMETRO 100 X 100 MM</t>
  </si>
  <si>
    <t>TUBO SOLD.P/ESGOTO DIAM. 40 MM</t>
  </si>
  <si>
    <t>TUBO SOLD. P/ESGOTO DIAM. 50 MM</t>
  </si>
  <si>
    <t>TUBO SOLDAVEL P/ESGOTO DIAM.75 MM</t>
  </si>
  <si>
    <t>TUBO SOLDAVEL P/ESGOTO DIAM. 100 MM</t>
  </si>
  <si>
    <t>TUBO FERRO GALVANIZ.DIAM.1/2"</t>
  </si>
  <si>
    <t>TUBO FERRO GALVANIZADO DIAM.3/4"</t>
  </si>
  <si>
    <t>TUBO FERRO GALVANIZADO DIAM.1"</t>
  </si>
  <si>
    <t>TUBO FERRO GALVAN.DIAM.1.1/4"</t>
  </si>
  <si>
    <t>TUBO FERRO GALV.DIAM.1.1/2"</t>
  </si>
  <si>
    <t>TUBO FERRO GALVANIZADO DIAM.2"</t>
  </si>
  <si>
    <t>TUBO FERRO GALVANIZADO DIAM.2.1/2"</t>
  </si>
  <si>
    <t>TUBO FERRO GALVANIZADO DIAM.3"</t>
  </si>
  <si>
    <t>TUBO FERRO GALVANIZADO DIAM. 4"</t>
  </si>
  <si>
    <t>ADAPTADORES</t>
  </si>
  <si>
    <t>ADAPTADOR PARA VALVULA DE PIA,LAVAT.E TANQUE 40 MM</t>
  </si>
  <si>
    <t>ADAPTADOR JUNTA ELAST.P/SIFÃO METAL.40 MM X 1.1/2"</t>
  </si>
  <si>
    <t>INCÊNDIO</t>
  </si>
  <si>
    <t>MANGUEIRA DE INCÊNDIO D.I. = 38 MM TIPO 2 COMP. = 15 M</t>
  </si>
  <si>
    <t>AVISADOR SONORO E VISUAL</t>
  </si>
  <si>
    <t>DIVISORIA PAINEL E RODAPE SIMPLES PERFIL EM ALUMINIO</t>
  </si>
  <si>
    <t>DIVISORIA PAINEL E RODAPE SIMPLES PERFIL AÇO PINTADO</t>
  </si>
  <si>
    <t>FERRAGENS P/PORTA DIVISORIA PERFIL ALUMINIO</t>
  </si>
  <si>
    <t>FERRAGENS P/PORTA DIVISORIA PERFIL AÇO PINTADO</t>
  </si>
  <si>
    <t>DIVISORIA PAINEL/ROD.SIMPLES/PERF.ALUM.PAINEIS C/VIDRO</t>
  </si>
  <si>
    <t>DIVISORIA PAINEL/ROD.SIMPLES/PERF.AÇO PINT.PAINEIS C/VIDRO</t>
  </si>
  <si>
    <t>IMPERMEABILIZACAO-ARGAM. SINT.SEMI - FLEXIVEL</t>
  </si>
  <si>
    <t>IMPERMEAB. FLEXÍVEL INCLUSIVE BASE (TRANSIÇÃO) SEMI FLEXIVEL</t>
  </si>
  <si>
    <t>ESTRUTURA-TELHA CERÂMICA V=3 A 7 M. C/FERRAGENS</t>
  </si>
  <si>
    <t>ESTRUTURA-TELHA CERAMICA V=7 A 10 M C/FERRAGENS</t>
  </si>
  <si>
    <t>ESTRUTURA-TELHA CERAMICA V=10-13 M. C/FERRAGENS</t>
  </si>
  <si>
    <t>EST.MAD.TELHA FIBROCIM. COM APOIOS EM LAJES/VIGAS OU PAREDES(SOMENTE TERÇAS) C/FERRAGENS</t>
  </si>
  <si>
    <t>ESTRUT.-TELHA DE FIBROCIMENTO (C/TESOURA) C/FERRAGENS</t>
  </si>
  <si>
    <t>RIPÃO APARELHADO P/TELHADO</t>
  </si>
  <si>
    <t>TRATAMENTO P/ESTRUTURA DE TELHADO</t>
  </si>
  <si>
    <t>MAO DE OBRA PARA COBERTURA C/TELHA COLONIAL PLAN</t>
  </si>
  <si>
    <t>COBERTURA COM TELHA ONDULADA OU EQUIV.</t>
  </si>
  <si>
    <t>CUMEEIRA PARA TELHA ONDULADA OU EQUIV.</t>
  </si>
  <si>
    <t>PORTAL ( INCLUSO ENCHIMENTO COM ALVENARIA)</t>
  </si>
  <si>
    <t>PORTA LISA 60x210 C/PORTAL E ALISAR S/FERRAGENS</t>
  </si>
  <si>
    <t>PORTA LISA 70x210 C/PORTAL E ALISAR S/FERRAGENS</t>
  </si>
  <si>
    <t>ESQUADRIAS METÁLICAS -  (OBS.: 1 - OS VIDROS NÃO ESTÃO INCLUSOS NAS ESQUADRIAS; 2 - JÁ ESTÁ CONSIDERADO NO CUSTO DAS ESQUADRIAS DE ALUMÍNIO O CONTRAMARCO )</t>
  </si>
  <si>
    <t>ESQUADRIA ALUMÍNIO NATURAL MÁXIMO AR C/FERRAGENS (M.O.FAB.INC.MAT.)</t>
  </si>
  <si>
    <t>ESQUADRIA DE ALUMÍNIO ANODIZADO CORRER / VIDRO 2 FOLHAS C/FERRAGENS (M.O.FAB.INC.MAT.)</t>
  </si>
  <si>
    <t>ESQUADRIA ALUMÍNIO ANODIZADO COM 3 FOLHAS (01 VIDRO E 02 VENEZIANA )C/FERRAGENS (M.O.FAB.INC.MAT.)</t>
  </si>
  <si>
    <t>ESQUADRIA ALUMÍNIO ANODIZADO MÁXIMO AR C/FERRAGENS (M.O.FAB.INC.MAT.)</t>
  </si>
  <si>
    <t>PORTAO TELA/TUBO FoGo PT1/PT2 C/FERRAGENS</t>
  </si>
  <si>
    <t>PORTAO TELA/TUBO FoGo PT3 C/FERRAGENS</t>
  </si>
  <si>
    <t>PORTAO TELA/TUBO FoGo PT10 C/FERRAGENS</t>
  </si>
  <si>
    <t>PORTAO DE FERRO REDONDO PT-6 C/FERRAGENS</t>
  </si>
  <si>
    <t>PORTAO DE ABRIR CHAPA 14  PT-4 C/FERRAGENS</t>
  </si>
  <si>
    <t>PORTAO DE TELA E CANO GALVANIZ. PT 9 C/FERRAGENS</t>
  </si>
  <si>
    <t>PORTAO /CHAPA TRAPEZ / TUBO DE ACO PT-5 C/FERRAGEM</t>
  </si>
  <si>
    <t>PORTAO CHAPA 14 / GRADE DE FERRO PT-7 C/FERRAGENS</t>
  </si>
  <si>
    <t>PORTAO CORRER / ABRIR CONJUGADO PT-8 C/FERRAGENS</t>
  </si>
  <si>
    <t>ESQ. MAXIMO AR CHAPA/VIDRO J4 C/FERRAGENS</t>
  </si>
  <si>
    <t>ESQ. MAXIMO AR CHAPA/VIDRO J3/J5/J6/J8 C/FERRAGENS</t>
  </si>
  <si>
    <t>ESQ. DE CORRER VENEZIANA CHAPA/VIDRO J14 C/FERRAGENS</t>
  </si>
  <si>
    <t>ESQ.DE CORRER CHAPA/VIDRO J9/J10/J12/J13 C/FERRAGENS</t>
  </si>
  <si>
    <t>ESQ.VENEZIANA CHAPA/VIDRO J11 e J16 C/FERRAGENS</t>
  </si>
  <si>
    <t>ESQ.MAXIMO AR CHAPA/VIDRO J1/J2/J7/J15 C/FERRAGENS</t>
  </si>
  <si>
    <t>ESQUADRIA BASCULANTE EM CHAPA  J17, J18 e J19 C/FERRAGENS</t>
  </si>
  <si>
    <t>ESQ.METALICA / PRE-MOLDADO JPM-1 / JPM-2 C/FERRAGENS</t>
  </si>
  <si>
    <t>ESQUADRIA EM CHAPA METÁLICA TIPO VENEZIANA FIXA COM VENTILAÇÃO  J-20</t>
  </si>
  <si>
    <t>PORTA DE ABRIR EM CHAPA PF-1A C/FERRAGENS</t>
  </si>
  <si>
    <t>PORTA DE ABRIR EM CHAPA PF-1B C/FERRAGENS</t>
  </si>
  <si>
    <t>PORTA DE ABRIR EM CHAPA PF-1 C/FERRAGENS</t>
  </si>
  <si>
    <t>PORTA DE ABRIR/FOLHA DE VIDRO PF-2 C/FERRAGENS</t>
  </si>
  <si>
    <t>PORTA DE ABRIR/VENEZIANA/VIDRO PF-3 C/FERRAGENS</t>
  </si>
  <si>
    <t>PORTA ABRIR/VENEZIANA PF-4 C/FERRAGENS</t>
  </si>
  <si>
    <t>PORTA ABRIR/VENEZIANA (2) FOLHAS PF-5 C/FERRAGENS</t>
  </si>
  <si>
    <t>PORTA DE CORRER/VIDRO (4) FOLHAS PF-6 C/ FERRAGENS</t>
  </si>
  <si>
    <t>PORTA DE CORRER C/BASCULA PF-7/PF-8 C/ FERRAGENS</t>
  </si>
  <si>
    <t>PORTA ABRIR/VIDRO (2) FOLHAS PF-9 C/FERRAGENS</t>
  </si>
  <si>
    <t>PORTA ABRIR CH.P/WC PF-10 C/FERRAGENS</t>
  </si>
  <si>
    <t>PORTA DE ABRIR VENEZ./VIDRO (2) FOLHAS PF-11 C/FERRAGENS</t>
  </si>
  <si>
    <t>VIDRO FANTASIA - COLOCADO</t>
  </si>
  <si>
    <t>REB.PAULISTA C/IMPERM.A-15 (1CI:4ARMLC+5% IMPXCI)</t>
  </si>
  <si>
    <t>REVESTIMENTO COM ARGAMASSA DE AREIA DE QUARTZO</t>
  </si>
  <si>
    <t>CHAPISCO ROLADO ( 1CIM:3 ARML)+(1 COLA:10 CIM)</t>
  </si>
  <si>
    <t>PASSEIO PROTECAO EM CONC.DESEMPEN.5 CM 1:2,5:3,5 ( INCLUSO ESPELHO DE 30CM/ESCAVAÇÃO/REATERRO/APILOAMENTO/ATERRO INTERNO)</t>
  </si>
  <si>
    <t>CONC.ARM.ESP.=20CM BAIA TERM.RODOVIARIO 30MPA(3X3 M)COMP./S.LEITO</t>
  </si>
  <si>
    <t>PISO CONC.POLIDO e=2,0 CM (1:2:2,5) E JUNTA PL AST.17MM</t>
  </si>
  <si>
    <t>CONC.DEMP.5CM C/JUNTA SX.ROLADO-10CM-1:2,5:3,5</t>
  </si>
  <si>
    <t>CIMENT.LISO IMP.NATURAL E=2CM C/JUNTA PL.1CI:3ARMG</t>
  </si>
  <si>
    <t>CIMENT.RUST.IMP.NATURAL E=.2CM C/JUNTA PL.1CI:3ARMG</t>
  </si>
  <si>
    <t>CIMENT.RUSTICO E=2CM C/JUNTA PLAST.1 CI:3 ARMG</t>
  </si>
  <si>
    <t>CIMENT.LISO C/OX.FERRO E=2 CM C/JUNTA PL.1CI:3ARMG</t>
  </si>
  <si>
    <t>CONCR.SEIXO ROL.SEMI POLIDO 3CM(1:2:2,5) C/JUNTA 27MM</t>
  </si>
  <si>
    <t>RODAPÉ PLANO P/ PISO VINÍLICO H=5CM</t>
  </si>
  <si>
    <t>RODAPE P/ PISO DE BORRACHA</t>
  </si>
  <si>
    <t>TESTEIRA CANTONEIRA ALUMINIO</t>
  </si>
  <si>
    <t>FECH.(ALAV.) LAFONTE 6236 E/8766- E17 IMAB OU EQUIV.</t>
  </si>
  <si>
    <t>FECH.(ALAV.) LAFONTE 6236 I /8766- I18 IMAB OU EQUIV.</t>
  </si>
  <si>
    <t>FECHADURA TIPO LIVRE OCUPADO (819 IMAB/719 LA FONTE) OU EQUIV.</t>
  </si>
  <si>
    <t>FECH. TIPO BICO DE PAPAGAIO (1222 LAFONTE/1161 E - 30  IMAB) OU EQUIV.</t>
  </si>
  <si>
    <t>FECH.(ALAV.) LAFONTE 6236 B/8766 - B19 IMAB OU EQUIV.</t>
  </si>
  <si>
    <t>FECH.(BOLA) LAFONTE 2080-E / 1005-E VOUGA OU EQUIVALENTE</t>
  </si>
  <si>
    <t>FECH. (BOLA) LAFONTE 2080-I / 005-I VOUGA OU EQUIVALENTE</t>
  </si>
  <si>
    <t>FECHADURA (BOLA) LAFONTE  2080-B / 005-B VOUGA OU EQUIVALENTE</t>
  </si>
  <si>
    <t>CANTONEIRA PEQUENA P/DIVISORIAS</t>
  </si>
  <si>
    <t>CANTONEIRA GRANDE P/DIVISORIAS</t>
  </si>
  <si>
    <t>CHAPA SUPORTE P/DIVISORIAS</t>
  </si>
  <si>
    <t>BATENTE C/ENCOSTO BORRACHA P/DIVISORIAS</t>
  </si>
  <si>
    <t>DOBRADICA C/MOLA P/PORTA/DIVISORIAS</t>
  </si>
  <si>
    <t>PARAFUSO P/FERRAGENS/DIVISORIAS</t>
  </si>
  <si>
    <t>CORRENTE 4 MM P/CADEADO</t>
  </si>
  <si>
    <t>ESTRADO ESC.20 SALAS</t>
  </si>
  <si>
    <t>LIMPEZA DE ESTRUT.METAL.S/ANDAIME</t>
  </si>
  <si>
    <t>CAIACAO TRES DEMAOS MUROS E PAREDES - (OB.C.)</t>
  </si>
  <si>
    <t>CAIACAO DUAS DEMAOS MUROS E PAREDES - (OB.C.)</t>
  </si>
  <si>
    <t>FUNDO PRIMER P/ ESTR. METALICA (2 DEMAOS)</t>
  </si>
  <si>
    <t>PINT.ESMALTE S/ANTICOR 2 DEMAOS</t>
  </si>
  <si>
    <t>PINT.ESMALTE 2 DEM. ESQ.FERRO (SEM FUNDO ANTICOR.)</t>
  </si>
  <si>
    <t>PINTURA ESMALTE 1 DEMÃO ESQUADRIA METALICA S/FUNDO ANTICORR.</t>
  </si>
  <si>
    <t>PINT.ESMALTE SINT.PAREDES - 2 DEM.C/SELADOR</t>
  </si>
  <si>
    <t>PINT.ESMALTE/ESQUAD.FERRO C/FUNDO ANTICOR.</t>
  </si>
  <si>
    <t>PINT.GRAFITE ESQUAD.FERRO (DUPLA FUNÇÃO - FUNDO E ACABAMENTO)</t>
  </si>
  <si>
    <t>PINTURA ESMALTE ALQUIDICO ESTR.METALICA 2 DEMAOS</t>
  </si>
  <si>
    <t>PINTURA ESMALTE ALQUIDICO EST.METALICA 1 DEMAO</t>
  </si>
  <si>
    <t>LETREIRO PEQ.PORTE A PINCEL EM PAREDE E PORTAS</t>
  </si>
  <si>
    <t>DEMARC.QUADRA/VAGAS TINTA POLIESPORTIVA</t>
  </si>
  <si>
    <t>PINT.POLIESPORTIVA - 2 DEM.(PISOS E CIMENTADOS)</t>
  </si>
  <si>
    <t>IRRIGACAO P/30 DIAS / AREA PLANTADA</t>
  </si>
  <si>
    <t>MURO DE ALVENARIA APARENTE BLOCO CONCRETO ESTRUTURAL ESPESSURA 14 CM ( H=2,40M ) COM FUNDAÇÃO (PADRÃO GOINFRA)</t>
  </si>
  <si>
    <t>MURO DE ALVENARIA TIJOLO FURADO 1/2 VEZ ( H=2,00M) COM FUNDAÇÃO - SEM REVESTIMENTOS (PADRÃO GOINFRA)</t>
  </si>
  <si>
    <t>MURO DE ALVENARIA TIJOLO FURADO 1/2 VEZ ( H=2,50M) COM FUNDAÇÃO - SEM REVESTIMENTOS (PADRÃO GOINFRA)</t>
  </si>
  <si>
    <t>MURO DE ALVENARIA TIJOLO FURADO 1/2 VEZ ( H=3,00M) COM FUNDAÇÃO - SEM REVESTIMENTOS (PADRÃO GOINFRA)</t>
  </si>
  <si>
    <t>LIMPEZA COM ÁCIDO MURIÁTICO (1:20), NEUTRALIZADO COM  AMÔNIA (1:14)</t>
  </si>
  <si>
    <t>ALAMBRADO COM POSTE DE CONCRETO E CINTA ARMADA PD. GOINFRA</t>
  </si>
  <si>
    <t>CERCA EM MADEIRA ROLIÇA ( EUCALIPTO COM TRATAMENTO ) COM H=1,70 M E 9 FIOS DE ARAME FARPADO - POSTE ESTICADOR A CADA 25 M  E ESPAÇAMENTO ENTRE POSTES = 2,50 M</t>
  </si>
  <si>
    <t>MICTORIO ACO INOX SOBRE COCHO DE CONCRETO(SEM INST.H.SANIT.)</t>
  </si>
  <si>
    <t>CANALETA CONCRETO DESEMPENADO 5 CM PD.GOINFRA</t>
  </si>
  <si>
    <t>COTAÇÕES</t>
  </si>
  <si>
    <t>DESCRIÇÃO</t>
  </si>
  <si>
    <t>CNPJ</t>
  </si>
  <si>
    <t>CONTATO</t>
  </si>
  <si>
    <t>UN</t>
  </si>
  <si>
    <t>REFERÊNCIA</t>
  </si>
  <si>
    <t>DATA</t>
  </si>
  <si>
    <t>QUANT.</t>
  </si>
  <si>
    <t>VALOR TOTAL R$</t>
  </si>
  <si>
    <t>VALOR UNT. R$</t>
  </si>
  <si>
    <t xml:space="preserve">MÉDIA </t>
  </si>
  <si>
    <t>MEDIANA</t>
  </si>
  <si>
    <t>Solda exotérmica para emendas e fixação dos cabos de cobre nú nas hastes de aterramento</t>
  </si>
  <si>
    <t>Aterramento das instalações elétricas // Quantidade de haste = 1</t>
  </si>
  <si>
    <t>M</t>
  </si>
  <si>
    <t>un</t>
  </si>
  <si>
    <t>Un</t>
  </si>
  <si>
    <t>001</t>
  </si>
  <si>
    <t>002</t>
  </si>
  <si>
    <t>47.960.950/1088-36</t>
  </si>
  <si>
    <t>0800 773 3838</t>
  </si>
  <si>
    <t>003</t>
  </si>
  <si>
    <t>LOJA ELETRICA LIMITADA</t>
  </si>
  <si>
    <t>17.155.342/0011-55</t>
  </si>
  <si>
    <t>COTAÇÃO 01</t>
  </si>
  <si>
    <t>COTAÇÃO 02</t>
  </si>
  <si>
    <t>CAIXA OCTOGONAL, EM PVC, DE 3" X 3", PARA ELETRODUTO FLEXIVEL CORRUGADO</t>
  </si>
  <si>
    <t>ARRUELA LISA 3/8"</t>
  </si>
  <si>
    <t>PORCA SEXTAVADA DIÂMETRO 3/8"</t>
  </si>
  <si>
    <t>Janelas</t>
  </si>
  <si>
    <t>Sala de Aula 02/ Sala de Aula 03 - Volume de demolição = ((2,25 + 2,25) x 3 x 0,15 = 2,03 m³;</t>
  </si>
  <si>
    <t>Sala de Aula 03/ Sala de Aula 04 - Volume de alvenaria  = ((2,25 + 2,25) x 3 x 0,15 = 2,03 m³;</t>
  </si>
  <si>
    <t>Sala de Aula 05/ Sala de Aula 06 - Volume de alvenaria  = ((2,25 + 2,25) x 3 x 0,15 = 2,03 m³;</t>
  </si>
  <si>
    <t xml:space="preserve">Sala de professores </t>
  </si>
  <si>
    <t>Circ.</t>
  </si>
  <si>
    <t>Diretoria</t>
  </si>
  <si>
    <t>Sub-secretaria</t>
  </si>
  <si>
    <t>Circulação</t>
  </si>
  <si>
    <t>Sala de aula 01</t>
  </si>
  <si>
    <t>Sala de aula 02</t>
  </si>
  <si>
    <t>Sala de aula 03</t>
  </si>
  <si>
    <t>Sala de aula 04</t>
  </si>
  <si>
    <t>Sala de aula 05</t>
  </si>
  <si>
    <t>Sala de aula 06</t>
  </si>
  <si>
    <t>Sala de aula 07</t>
  </si>
  <si>
    <t>Sala de aula 08</t>
  </si>
  <si>
    <t>Sala de aula 09</t>
  </si>
  <si>
    <t>Sala de aula 10</t>
  </si>
  <si>
    <t>Sala de aula 11</t>
  </si>
  <si>
    <t>Sala de aula 12</t>
  </si>
  <si>
    <t>Sanit. Masculino</t>
  </si>
  <si>
    <t>DML</t>
  </si>
  <si>
    <t>Sanit. Feminino</t>
  </si>
  <si>
    <t>Centro acadêmico</t>
  </si>
  <si>
    <t>Sala dos professores - Remoção instalações elétricas aparentes (canaletas de pvc), adimitindo esquema F+N // Extensão = 8,00 + 4,85 + 6,00 = 18,85 x 2 = 37,70 m</t>
  </si>
  <si>
    <t>Sala de aula 01 - Remoção instalações elétricas aparentes, adimitindo esquema F+N // Extensão = 8,72 x 2 = 17,44 m</t>
  </si>
  <si>
    <t>Sala de aula 02 - Remoção instalações elétricas aparentes, adimitindo esquema F+N // Extensão = 3,92 x 2 = 7,84 m</t>
  </si>
  <si>
    <t>Sala de aula 03 - Remoção instalações elétricas aparentes, adimitindo esquema F+N // Extensão = 3,92 x 2 = 7,84 m</t>
  </si>
  <si>
    <t>Sala de aula 04 - Remoção instalações elétricas aparentes, adimitindo esquema F+N // Extensão = 3,92 x 2 = 7,84 m</t>
  </si>
  <si>
    <t>Sala de aula 05 - Remoção instalações elétricas aparentes, adimitindo esquema F+N // Extensão = 3,92 x 2 = 7,84 m</t>
  </si>
  <si>
    <t>Sala de aula 06 - Remoção instalações elétricas aparentes, adimitindo esquema F+N // Extensão = 3,92 x 2 = 7,84 m</t>
  </si>
  <si>
    <t>Todos os materiais deverão ser previamente apresentados a CONTRATANTE, a fim de que a mesma verifique o interesse no reaproveitamento e recolhimento dos mesmos</t>
  </si>
  <si>
    <t>Salas de aula</t>
  </si>
  <si>
    <t>Diretoria, sala de professores, sub-secretaria, centro acadêmico</t>
  </si>
  <si>
    <t>DML, Sanit. Masculino, Sanit. Feminino</t>
  </si>
  <si>
    <t>Diretoria - Remoção eletrodutos aparentes (canaletas de pvc) // Extensão = 1,15 + 4,85 + 0,76 = 6,76 x 2 = 13,52 m</t>
  </si>
  <si>
    <t>Sala de aula 11 - Remoção instalações elétricas aparentes, adimitindo esquema F+N // Extensão = 3,12 x 2 = 6,24 m</t>
  </si>
  <si>
    <t>Sala de aula 10 - Remoção instalações elétricas aparentes, adimitindo esquema F+N // Extensão = 3,12 x 2 = 6,24 m</t>
  </si>
  <si>
    <t>Sala de aula 09 - Remoção instalações elétricas aparentes, adimitindo esquema F+N // Extensão = 3,12 x 2 = 6,24 m</t>
  </si>
  <si>
    <t>Sala de aula 08 - Remoção instalações elétricas aparentes, adimitindo esquema F+N // Extensão = (3,12 + (6 x 2)) x 2 = 30,24 m</t>
  </si>
  <si>
    <t>Remoção disjuntores nos quadros de distribuição</t>
  </si>
  <si>
    <t>m3</t>
  </si>
  <si>
    <t>TAMPA PARA CONDULETE METÁLICO PARA 2 TOMADAS</t>
  </si>
  <si>
    <t>TÊ HORIZONTAL PARA ELETROCALHA 150X100 MM</t>
  </si>
  <si>
    <t>1"</t>
  </si>
  <si>
    <t>1.1/2"</t>
  </si>
  <si>
    <t>1.1/4"</t>
  </si>
  <si>
    <t>2"</t>
  </si>
  <si>
    <t>TALA PLANA PERFURADA PARA ELETROCALHA 150X100 MM</t>
  </si>
  <si>
    <t>Entrada - 1 Porta P09 (7,40 m x 2,50 m)</t>
  </si>
  <si>
    <t>DML - Sifão danificado</t>
  </si>
  <si>
    <t>Sala de aula 07 - Remoção instalações elétricas aparentes, adimitindo esquema F+N // Extensão = 3,12 x 2 = 6,24 m</t>
  </si>
  <si>
    <t>Remoção tomadas elétricas aparentes</t>
  </si>
  <si>
    <t>PARAFUSO SEXTAVADO ROSCA SOBERBA 3X8" 2 1/2 ROSCA TOTAL WW</t>
  </si>
  <si>
    <t>3/4"</t>
  </si>
  <si>
    <t>COMP. 02</t>
  </si>
  <si>
    <t>COMP. 03</t>
  </si>
  <si>
    <t>COMP. 04</t>
  </si>
  <si>
    <t>01.847.854/0003-32</t>
  </si>
  <si>
    <t>und</t>
  </si>
  <si>
    <t>ELETRO TRANSOL IND. E COM. DE MAT. ELET. LTDA</t>
  </si>
  <si>
    <t>COMP. 06</t>
  </si>
  <si>
    <t>ELÉTRICA SILVEIRA LTDA</t>
  </si>
  <si>
    <t>45.037.629/0001-44</t>
  </si>
  <si>
    <t>(11) 2714-1212</t>
  </si>
  <si>
    <t>COTAÇÃO 03</t>
  </si>
  <si>
    <t>COTAÇÃO 04</t>
  </si>
  <si>
    <t>COTAÇÃO 05</t>
  </si>
  <si>
    <t>COMP. 07</t>
  </si>
  <si>
    <t>SUPORTE VERTICAL PARA ELETROCALHA 150X100 MM (FORNECIMENTO E INSTALAÇÃO)</t>
  </si>
  <si>
    <t>SUPORTE VERTICAL PARA ELETROCALHA 150X100 MM</t>
  </si>
  <si>
    <t>052799-8</t>
  </si>
  <si>
    <t>MAGAZINE LUIZA S/A</t>
  </si>
  <si>
    <t>COTAÇÃO 06</t>
  </si>
  <si>
    <t>TÊ HORIZONTAL PARA ELETROCALHA 150X100 MM (FORNECIMENTO E INSTALAÇÃO)</t>
  </si>
  <si>
    <t xml:space="preserve">COMP. 08 </t>
  </si>
  <si>
    <t>SANTIL COMERCIAL ELETRICA LTDA</t>
  </si>
  <si>
    <t>49.474.398/0008-63</t>
  </si>
  <si>
    <t>(11) 3998-3000</t>
  </si>
  <si>
    <t>TALA PLANA PERFURADA PARA ELETROCALHA 150X100 MM (FORNECIMENTO E INSTALAÇÃO)</t>
  </si>
  <si>
    <t>COMP. 09</t>
  </si>
  <si>
    <t>COMP. 10</t>
  </si>
  <si>
    <t xml:space="preserve"> (31) 3218-8211</t>
  </si>
  <si>
    <t>QUADRO DE DISTRIBUICAO, COM BARRAMENTO, EM PVC, DE SOBREPOR, PARA 16 DISJUNTORES DIN</t>
  </si>
  <si>
    <t>55.728.224/0001-06</t>
  </si>
  <si>
    <t>(11) 4996-6000</t>
  </si>
  <si>
    <t>COPAFER COMERCIAL LTDA</t>
  </si>
  <si>
    <t>COTAÇÃO 07</t>
  </si>
  <si>
    <t>COTAÇÃO 08</t>
  </si>
  <si>
    <t>COTAÇÃO 09</t>
  </si>
  <si>
    <t>COTAÇÃO 10</t>
  </si>
  <si>
    <t>COMP. 12</t>
  </si>
  <si>
    <t>ELETROMAR MATERIAIS ELETRICOS E HIDRAULICOS EIREL</t>
  </si>
  <si>
    <t>02.649.941/0001-86</t>
  </si>
  <si>
    <t>(64)3620-9200</t>
  </si>
  <si>
    <t>65.640.591/0001-07</t>
  </si>
  <si>
    <t>(16) 3516-1462</t>
  </si>
  <si>
    <t>COMP. 13</t>
  </si>
  <si>
    <t>MARTFER COMÉRCIO DE FERRAMENTAS LTDA (A MEGA LOJA)</t>
  </si>
  <si>
    <t>LEROY MERLIN COMPANHIA BRASILEIRA DE BRICOLAGEM</t>
  </si>
  <si>
    <t>01.438.784/0048-60</t>
  </si>
  <si>
    <t>4007-1380</t>
  </si>
  <si>
    <t>56117/004</t>
  </si>
  <si>
    <t>COMP. 14</t>
  </si>
  <si>
    <t>COTAÇÃO 11</t>
  </si>
  <si>
    <t>004</t>
  </si>
  <si>
    <t>COTAÇÃO 12</t>
  </si>
  <si>
    <t>COTAÇÃO 13</t>
  </si>
  <si>
    <t>COTAÇÃO 14</t>
  </si>
  <si>
    <t>COTAÇÃO 15</t>
  </si>
  <si>
    <t>COTAÇÃO 16</t>
  </si>
  <si>
    <t>3.1</t>
  </si>
  <si>
    <t>3.2</t>
  </si>
  <si>
    <t>m2</t>
  </si>
  <si>
    <t>Demolição paredes de bloco cerâmico (Ambientes identificados de acordo com a PLANTA BAIXA - A DEMOLIR)</t>
  </si>
  <si>
    <t>Diretoria/ Sala de Aula 01 (Porta a construir) // Volume de demolição = (1,00 x 2,10 x 0,15) = 0,32 m³</t>
  </si>
  <si>
    <t xml:space="preserve">Quadro geral no ambiente Circulação (Apenas disjuntores dos circuitos números 03, 04, 05, 06, 07, 08 </t>
  </si>
  <si>
    <t>Entulhos gerados durante a reforma. Critério de orçamentação = 3%. Área construída = 3% x 1.649,99 = 49,50 m³</t>
  </si>
  <si>
    <t>Corte no solo para execução das instalações elétricas embutidas</t>
  </si>
  <si>
    <t>REMOÇÃO MANUAL DE METAL SANITÁRIO (VÁLVULAS/ SIFÃO/ REGISTROS/ TORNEIRAS/ OUTROS) COM TRANSPORTE ATÉ CAÇAMBA E CARGA</t>
  </si>
  <si>
    <t>Todos os materiais deverão ser previamente apresentados a CONTRATANTE, a fim de que a mesma verifique o interesse no reaproveitamento e recolhimento dos mesmos (Ambientes identificados de acordo com a PLANTA BAIXA - A DEMOLIR)</t>
  </si>
  <si>
    <t>PAREDE COM PLACAS DE GESSO ACARTONADO (DRYWALL), PARA USO INTERNO, COM DUAS FACES SIMPLES E ESTRUTURA METÁLICA COM GUIAS SIMPLES, COM VÃOS AF_06/2017_PS</t>
  </si>
  <si>
    <t>SINAPI 96359</t>
  </si>
  <si>
    <t>SINAPI 96358</t>
  </si>
  <si>
    <t>PAREDE COM PLACAS DE GESSO ACARTONADO (DRYWALL), PARA USO INTERNO, COM DUAS FACES SIMPLES E ESTRUTURA METÁLICA COM GUIAS SIMPLES, SEM VÃOS. AF_06/2017_PS</t>
  </si>
  <si>
    <t>Fechamento abertura porta Sala de Professores // Área = 1,00 x 2,10 = 2,10 m²</t>
  </si>
  <si>
    <t>Fechamento abertura Janela Sala de Professores // Área = 3,00 x 1,00 = 3,00 m²</t>
  </si>
  <si>
    <t>Requadro da alvenaria no local de demolição da porta Circulação/ Coordenação 01 // Área de requadro = (2,10 + 1,00 + 2,10) x 0,15 = 0,78 m²</t>
  </si>
  <si>
    <t>Requadro da alvenaria no local de demolição da porta Coordenação 01/ Subsecretaria // Área de requadro = (2,10 + 1,00 + 2,10) x 0,15 = 0,78 m²</t>
  </si>
  <si>
    <t>Requadro da alvenaria no local de demolição da porta Subsecretaria/ Coordenação 02 // Área de requadro = (2,10 + 1,00 + 2,10) x 0,15 = 0,78 m²</t>
  </si>
  <si>
    <t>Requadro da alvenaria no local de demolição da porta Sala de Aula 12 // Área de requadro = (2,10 + 1,00 + 2,10) x 0,15 = 0,78 m²</t>
  </si>
  <si>
    <t>(Ambientes identificados de acordo com a PLANTA BAIXA - A CONSTRUIR)</t>
  </si>
  <si>
    <t xml:space="preserve">Coordenação 01 // Perímetro = 25,70 m; Pé direito = 3,00 m; Aberturas = (2,00 x 1,00) + (2,00 x 1,00)  + (2,10 x 1,00) + (2,10 x 1,00) = 8,20 m² // Área líquida = (25,70 x 3,00) - 8,20 = 68,90 m² </t>
  </si>
  <si>
    <t xml:space="preserve">Subsecretaria // Perímetro = 25,70 m; Pé direito = 3,00 m; Aberturas = (2,00 x 1,00) + (2,00 x 1,00) + (2,10 x 1,00) + (2,10 x 1,00) + (2,10 x 1,00) + (1,00 x 2,00) = 12,30 m² // Área líquida= (25,70 x 3,00) - 12,30 = 64,80 m² </t>
  </si>
  <si>
    <t xml:space="preserve">Coordenação 02 // Perímetro = 25,70 m; Pé direito = 3,00 m; Aberturas = (1,50 x 1,00) + (1,50 x 1,00) + (2,10 x 1,00) + (2,10 x 1,00) + (2,00 x 1,00) = 9,20 m² // Área líquida = (25,70 x 3,00) - 9,20 = 67,90 m² </t>
  </si>
  <si>
    <t xml:space="preserve">Sala dos professores // Perímetro = 25,70 m; Pé direito = 3,00 m; Aberturas = (1,50 x 1,00) + (1,50 x 1,00) + (2,10 x 1,00) + (2,00 x 1,00) = 7,10 m² // Área líquida = (25,70 x 3,00) - 7,10 = 70,00 m² </t>
  </si>
  <si>
    <t>Pintura vigas internas</t>
  </si>
  <si>
    <t>Demolição da laje pré-moldada da marquise da fachada // Comprimento = 11,35 m; Largura = 1,80 m; Altura da laje = 0,15 m; Volume de demolição  = 11,35 x 1,80 x 0,15 = 3,06 m³</t>
  </si>
  <si>
    <t>Demolição da viga da marquise da fachada // Comprimento = 14,31 m; Largura = 0,15 m; Altura = 0,30 m</t>
  </si>
  <si>
    <t>Demolição platibanda da fachada</t>
  </si>
  <si>
    <t>Plaibanda da fachada // Comprimento = 14,31 m; Largura = 0,15 m; Altura = 0,75 m</t>
  </si>
  <si>
    <t>Banheiro Masculino - Torneiras</t>
  </si>
  <si>
    <t>Banheiro Feminino - Torneiras</t>
  </si>
  <si>
    <t>Banheiro Masculino - Sifão</t>
  </si>
  <si>
    <t>Banheiro Feminino - Sifão</t>
  </si>
  <si>
    <t>SINAPI 97664</t>
  </si>
  <si>
    <t>REMOÇÃO DE ACESSÓRIOS, DE FORMA MANUAL, SEM REAPROVEITAMENTO. AF_12/2017</t>
  </si>
  <si>
    <t>Depósito // Volume de alvenaria = 8,00 x 3,00 x 0,15 = 3,60 m³; Volume de aberturas = 1,25 x 2,10 x 0,15 = 0,39 m³; Volume de demolição = 3,60 - 0,39 = 3,21 m³</t>
  </si>
  <si>
    <t>Demolição bancada de granito com cuba (Depósito) // Área =  3,00 x 0,50 = 1,50 m²</t>
  </si>
  <si>
    <t>Demolição bancada de ardosia dos ármarios de alvenaria (Depósito) // Armário 1 = (2,10 x 0,95) x 2 + (2,10 x 0,95) x 2 = 7,98 m²; Ármario 2 = (1,85 x 0,45) x 2 + (1,85 x 0,45) x 2 = 3,33 m² // Área total de demolição de bancadas = 7,98 + 3,33 = 11,31 m²</t>
  </si>
  <si>
    <t>Remoção portas dos ármarios de alvenaria do Depósito</t>
  </si>
  <si>
    <t>Depósito (armários de alvenaria) // Volume de alvenaria = (1,10 + 4,50 + 0,95 + ) x 1,50 x 0,15 = 1,47 m³; Volume de aberturas = (0,70 + 1,78) x 1,50 x 0,15 = 0,558 m³; Volume de demolição = 1,47 - 0,558 = 0,92 m³</t>
  </si>
  <si>
    <t>Depósito (armários de alvenaria) // Volume de alvenaria = (0,60 + 0,60) x 1,20 x 0,15 = 0,22 m³; Volume de demolição = 0,22 m³</t>
  </si>
  <si>
    <t>Depósito - Lava Olhos</t>
  </si>
  <si>
    <t>Depósito - Torneira</t>
  </si>
  <si>
    <t>Depósito - Sifão</t>
  </si>
  <si>
    <t>Depósito</t>
  </si>
  <si>
    <t>Demolição dos amários // Volume de demolição = (0,60 x 4,00 x 0,10) + (1,10 x 4,50 x 0,10) = 0,74 m³</t>
  </si>
  <si>
    <t>Coworking (À construir) // Extensão = 3,63 + 10,05 + 4,98 + 4,47 + 3,07 + 2,03 + 4,60 = 32,83 m; Largura = 0,15 m; Profundidade = 0,10 m;  Volume = 32,83 x 0,15  x 0,10 = 0,49 m²</t>
  </si>
  <si>
    <t>Corte no piso para execução das instalações elétricas embutidas</t>
  </si>
  <si>
    <t>QUADRO DE DISTRIBUIÇÃO DE ENERGIA EM CHAPA DE AÇO GALVANIZADO, DE EMBUTIR, COM BARRAMENTO TRIFÁSICO, PARA 24 DISJUNTORES DIN 100A - FORNECIMENTO E INSTALAÇÃO. AF_10/2020</t>
  </si>
  <si>
    <t>SINAPI 101879</t>
  </si>
  <si>
    <t>QUADRO DE DISTRIBUIÇÃO, COM BARRAMENTO, EM PVC, DE SOBREPOR, 12 DISJUNTORES DIN (FORNECIMENTO E INSTALAÇÃO)</t>
  </si>
  <si>
    <t>CAMPOS E PALMEIRA LTDA (2W COMUNICAÇÃPO VISUAL)</t>
  </si>
  <si>
    <t>49.679.623/0001-21</t>
  </si>
  <si>
    <t>(64) 99335-2410</t>
  </si>
  <si>
    <t>HBA PRODUTOS INDUSTRIALIZADOS LTDA</t>
  </si>
  <si>
    <t>03.147.184/0001-05</t>
  </si>
  <si>
    <t>(62) 99932-5270</t>
  </si>
  <si>
    <t>SKP COMUNICAÇÃO VISUAL LTDA (CHAMEL COMUNICAÇÃO VISUAL)</t>
  </si>
  <si>
    <t>44.344.849/0001-58</t>
  </si>
  <si>
    <t>(62) 98604-9758</t>
  </si>
  <si>
    <t>COTAÇÃO 17</t>
  </si>
  <si>
    <t>COTAÇÃO 18</t>
  </si>
  <si>
    <t>Instalações elétricas novas (Lista de materiais - Projeto Elétrico)</t>
  </si>
  <si>
    <t>Instalações de rede novas - (Lista de materiais - Projeto Elétrico)</t>
  </si>
  <si>
    <t>Instalações elétricas novas - (Lista de materiais - Projeto Elétrico)</t>
  </si>
  <si>
    <t>Instalações elétricas novas - Tomadas embutidas no piso (Lista de materiais - Projeto Elétrico)</t>
  </si>
  <si>
    <t>TAMPA DE LATÃO DUAS TOMADAS DE PISO 4"X4"</t>
  </si>
  <si>
    <t>Remoção cobertura do prédio // Área = 1.701,98 m²</t>
  </si>
  <si>
    <t>Reaterro de solo escavado para execução de instalações elétricas embutidas no piso</t>
  </si>
  <si>
    <t>Alvenaria para fechamento de buraco de exaustor // Sala de determinações. Área = pi x 0,50 / 4 = 0,20 m²</t>
  </si>
  <si>
    <t>Fechamento abertura Janela Sala de Professores // Área = 3,00 x 1,00 = 3,00 x 2 = 6,00 m²</t>
  </si>
  <si>
    <t>Fechamento abertura porta Sala de Professores // Área = 1,00 x 2,10 = 2,10 x 2 = 4,20 m²</t>
  </si>
  <si>
    <t>Fechamento abertura porta de fora Depósito // Área = 1,00 x 2,10 = 2,10 m²</t>
  </si>
  <si>
    <t>(Ambientes identificados de acordo com a PLANTA BAIXA - A DEMOLIR)</t>
  </si>
  <si>
    <t>Instalações elétricas embutidas na parede da televisão no ambiente Empresa Âncora (à construir) // Extensão 1,10 x 2 = 2,20 m</t>
  </si>
  <si>
    <t>Coordenação 02</t>
  </si>
  <si>
    <t>Coordenação 01</t>
  </si>
  <si>
    <t>Sala dos professores</t>
  </si>
  <si>
    <t>Empresa âncora, Coworking, SR 01, SR 02, SR 03, SR 04, SR 05, SR 06, Prototipagem</t>
  </si>
  <si>
    <t>Circ. 01</t>
  </si>
  <si>
    <t>Área técnica</t>
  </si>
  <si>
    <t>SL aula 01</t>
  </si>
  <si>
    <t>SL aula 02</t>
  </si>
  <si>
    <t>SL aula 03</t>
  </si>
  <si>
    <t>SL aula 04</t>
  </si>
  <si>
    <t>SL aula 05</t>
  </si>
  <si>
    <t>SL aula 06</t>
  </si>
  <si>
    <t>Sanitário masculino</t>
  </si>
  <si>
    <t>Sanitário feminino</t>
  </si>
  <si>
    <t>Ambientes identificados de acordo com PLANTA BAIXA- À CONSTRUIR</t>
  </si>
  <si>
    <t>SINAPI 00010776</t>
  </si>
  <si>
    <t>mês</t>
  </si>
  <si>
    <t>MOVIMENTAÇÃO MOBILIÁRIO</t>
  </si>
  <si>
    <t>h</t>
  </si>
  <si>
    <t>Movimentação do mobiliário em geral das salas</t>
  </si>
  <si>
    <t>Movimentação das mesas e cadeiras em salas distintas para realização do serviços // 5 funcionários x 8 horas diárias = 2 dias</t>
  </si>
  <si>
    <t>Retorno das mesas e cadeiras em salas distintas para realização do serviços // 5 funcionários x 8 horas diárias = 2 dias</t>
  </si>
  <si>
    <t>PERSIANA ROLO SEM BOX TECIDO BLACKOUT 1,10 X 1,60M (FORNECIMENTO E INSTALAÇÃO)</t>
  </si>
  <si>
    <t>JANELA DE CORRER 04 FOLHAS (DUAS FIXAS E DUAS MÓVEIS) FECHAMENTO CENTRAL COM BATE-FECHA 1,00 M X 1,50 M - FORNECIMENTO E INSTALAÇÃO</t>
  </si>
  <si>
    <t>ELSON MARTINS COSTA JUNIOR (SULGOIANA VIDROS)</t>
  </si>
  <si>
    <t>29.170.154/0001-03</t>
  </si>
  <si>
    <t>(64) 3621-7200</t>
  </si>
  <si>
    <t>NL COMERCIO DE VIDROS LTDA (VIDRAÇARIA MARANATA)</t>
  </si>
  <si>
    <t>10.145.679/0001-60</t>
  </si>
  <si>
    <t>(64) 3623-4715</t>
  </si>
  <si>
    <t>PAINEL FIXO DE VIDRO TEMPERADO INCOLOR 8 MM; PERFIS EM ALUMÍNIO NA COR BRANCA 2,85 M X 3,0 M (FORNECIMENTO E INSTALAÇÃO)</t>
  </si>
  <si>
    <t>PAINEL FIXO DE VIDRO TEMPERADO INCOLOR 8 MM; PERFIS EM ALUMÍNIO NA COR BRANCA 4,17 M X 3,0 M (FORNECIMENTO E INSTALAÇÃO)</t>
  </si>
  <si>
    <t>PAINEL FIXO DE VIDRO TEMPERADO INCOLOR 8 MM; PERFIS EM ALUMÍNIO NA COR BRANCA 2,02 M X 3,0 M (FORNECIMENTO E INSTALAÇÃO)</t>
  </si>
  <si>
    <t>Und</t>
  </si>
  <si>
    <t>PAINEL FIXO DE VIDRO TEMPERADO INCOLOR 8 MM; PERFIS EM ALUMÍNIO NA COR BRANCA 4,00 M X 2,20 M (FORNECIMENTO E INSTALAÇÃO)</t>
  </si>
  <si>
    <t>PAINEL FIXO DE VIDRO TEMPERADO INCOLOR 8 MM; PERFIS EM ALUMÍNIO NA COR BRANCA 2,30 M X 2,20 M (FORNECIMENTO E INSTALAÇÃO)</t>
  </si>
  <si>
    <t>DIVERSOS BDI DIFERENCIADO</t>
  </si>
  <si>
    <t>PAINEL FIXO DE VIDRO TEMPERADO INCOLOR 8 MM; PERFIS EM ALUMÍNIO NA COR BRANCA 2,85 M X 2,20 M (FORNECIMENTO E INSTALAÇÃO)</t>
  </si>
  <si>
    <t>Empresa Âncora/ Cooworking // Quantidade = 01</t>
  </si>
  <si>
    <t>Cooworking/ Prototipagem // Quantidade = 01</t>
  </si>
  <si>
    <t>Empresa Âncora/ SR 01 // Quantidade = 01</t>
  </si>
  <si>
    <t>Cooworking/ SR 05 // Quantidade = 01</t>
  </si>
  <si>
    <t>SR 06/ Prototipagem // Quantidade = 01</t>
  </si>
  <si>
    <t>Cooworking/ SR 01 // Quantidade = 01</t>
  </si>
  <si>
    <t>Cooworking/ SR 02 // Quantidade = 01</t>
  </si>
  <si>
    <t>Cooworking/ SR 03 // Quantidade = 01</t>
  </si>
  <si>
    <t>Cooworking/ SR 04 // Quantidade = 01</t>
  </si>
  <si>
    <t>Cooworking/ SR 06 // Quantidade = 01</t>
  </si>
  <si>
    <t>Coworking/ Circ. 01 // Quantidade = 02</t>
  </si>
  <si>
    <t>Coworking/ Circ. 01 // Quantidade = 05</t>
  </si>
  <si>
    <t>SR 02/ SR 03 // Quantidade = 01</t>
  </si>
  <si>
    <t>SR 03/ SR 04 // Quantidade = 01</t>
  </si>
  <si>
    <t>Coworking/ Circ. 01 // Quantidade = 03</t>
  </si>
  <si>
    <t>Empresa âncora/ Coworking// Quantidade = 01</t>
  </si>
  <si>
    <t>Coworking/ SR 01/ SR 02/ SR 03/ SR 04/ SR05/ SR 06 // Quantidade = 06</t>
  </si>
  <si>
    <t>Prototipagem/ Coworking// Quantidade = 01</t>
  </si>
  <si>
    <t>Portaria do Centro de Inovação, Pesquisa e Pós-Graduação</t>
  </si>
  <si>
    <t>VIDRACARIA VIDROLUX LTDA</t>
  </si>
  <si>
    <t>25.311.376/0001-48</t>
  </si>
  <si>
    <t>(64) 99987-8121</t>
  </si>
  <si>
    <t>COMP. 20</t>
  </si>
  <si>
    <t>TRAMA DE AÇO COMPOSTA POR TERÇAS PARA TELHADOS DE ATÉ DUAS ÁGUAS PARA TELHA ONDULADA DE FIBROCIMENTO, METÁLICA, PLÁSTICA OU TERMOACÚSTICA, INCLUSO TRANSPORTE VERTICAL (EXCLUSO FORNECIMENTO DO PERFIL)</t>
  </si>
  <si>
    <t>kg</t>
  </si>
  <si>
    <t>Reparo em vazamento nos drenos de ar condicionado (Ambientes identificados de acordo com a PLANTA BAIXA - A DEMOLIR)</t>
  </si>
  <si>
    <t>Centro acadêmico // Troca de tubo para reparo de vazamento do dreno de ar condicinado (Tubos de 25 mm) // Comprimento estimado = 1,00 m</t>
  </si>
  <si>
    <t>Centro acadêmico // Troca de tubo para reparo de vazamento do dreno de ar condicinado (Tubos de 25 mm) // Quantidade = 2,00 unidades</t>
  </si>
  <si>
    <r>
      <t>Centro acadêmico // Troca de tubo para reparo de vazamento do dreno de ar condicinado (Tubos de 25 mm) // Comprimento do rasgo = 3,00 m; Largura = 0,30 m; Área = 3,00 x 0,30 = 0,90 m</t>
    </r>
    <r>
      <rPr>
        <b/>
        <sz val="9"/>
        <color rgb="FF010000"/>
        <rFont val="Arial"/>
        <family val="2"/>
      </rPr>
      <t>²</t>
    </r>
  </si>
  <si>
    <t>Instalações elétricas embutidas na parede da televisão no ambiente Empresa Âncora (à construir) // Extensão 1,10 x 2 = 2,20 m; Largura = 0,30 m; Área = 2,20 x 0,30 = 0,66 m²</t>
  </si>
  <si>
    <t>Emassamento em forro de gesso acartonado (Ambientes identificados de acordo com PLANTA BAIXA- À CONSTRUIR)</t>
  </si>
  <si>
    <t>RG GUIMARAES COMERCIO DE VIDROS E ALUMINIOS LTDA (ALUMIFORT)</t>
  </si>
  <si>
    <t>35.812.659/0001-27</t>
  </si>
  <si>
    <t>(64) 99238-0590</t>
  </si>
  <si>
    <t>35.563.067/0001-19</t>
  </si>
  <si>
    <t>(64) 3621-0372</t>
  </si>
  <si>
    <t>RELUMAR ESQUADRIAS DE ALUMINIO E VIDRACARIA LTDA</t>
  </si>
  <si>
    <t>41.954.445/0001-98</t>
  </si>
  <si>
    <t>(64) 99202-3182</t>
  </si>
  <si>
    <t>VIDEG VIDRAÇARIA E DECORAÇÕES GOIAS LTDA</t>
  </si>
  <si>
    <t>07.339.308/0001-05</t>
  </si>
  <si>
    <t>(64) 3623-8956</t>
  </si>
  <si>
    <t>VERC ESQUADRIAS INDUSTRIA E COMERCIO LTDA</t>
  </si>
  <si>
    <t>14.911.375/0001-18</t>
  </si>
  <si>
    <t>(64) 99658-3946</t>
  </si>
  <si>
    <t>COTAÇÃO 19</t>
  </si>
  <si>
    <t>COTAÇÃO 20</t>
  </si>
  <si>
    <t>COTAÇÃO 21</t>
  </si>
  <si>
    <t>COTAÇÃO 22</t>
  </si>
  <si>
    <t>COTAÇÃO 23</t>
  </si>
  <si>
    <t>COTAÇÃO 24</t>
  </si>
  <si>
    <t>COTAÇÃO 25</t>
  </si>
  <si>
    <t>COTAÇÃO 26</t>
  </si>
  <si>
    <t>COTAÇÃO 27</t>
  </si>
  <si>
    <t>COTAÇÃO 28</t>
  </si>
  <si>
    <t>ARTE HOUSE CORTINAS E INTERIORES</t>
  </si>
  <si>
    <t>42.188.949/0001-07</t>
  </si>
  <si>
    <t>(64) 9612-3090</t>
  </si>
  <si>
    <t>R &amp; R CORTINAS E DECORAÇOES LTDA.</t>
  </si>
  <si>
    <t>12.998.099/0001-41</t>
  </si>
  <si>
    <t>(64) 3621-7272</t>
  </si>
  <si>
    <t>P DA S GOUVEA CORTFLEX CORTINAS</t>
  </si>
  <si>
    <t>21.510.329/0001-72</t>
  </si>
  <si>
    <t>(62) 3070-5051</t>
  </si>
  <si>
    <t>COTAÇÃO 29</t>
  </si>
  <si>
    <t>TAMPA DE LATÃO 4"X4" PARA TOMADA DUPLA DE PISO</t>
  </si>
  <si>
    <t>CENTER ELETRICA LTDA</t>
  </si>
  <si>
    <t>62.067.616/0001-37</t>
  </si>
  <si>
    <t>(11) 94029-3094</t>
  </si>
  <si>
    <t>MERKATHO COMERCIO E IMPORTACAO DE MATERIAIS DE CONSTRUCAO LTDA</t>
  </si>
  <si>
    <t>14.762.237/0001-14</t>
  </si>
  <si>
    <t>(51) 3276-7635</t>
  </si>
  <si>
    <t>CEL1576</t>
  </si>
  <si>
    <t>CONJUNTO 4" X 2" HDMI EMBUTIDO (FORNECIMENTO E INSTALAÇÃO)</t>
  </si>
  <si>
    <t>CONJUNTO 4" X 2" HDMI EMBUTIDO (TAMPA E MÓDULO)</t>
  </si>
  <si>
    <t>AMERICANAS S.A.</t>
  </si>
  <si>
    <t>00.776.574/0006-60</t>
  </si>
  <si>
    <t>4003-4848</t>
  </si>
  <si>
    <t xml:space="preserve"> 47.960.950/1088-36</t>
  </si>
  <si>
    <t>25.302.749/0001-14</t>
  </si>
  <si>
    <t>(16) 3235-7207</t>
  </si>
  <si>
    <t>PARIS LUZ ILUMINAÇÃO LTDA ME</t>
  </si>
  <si>
    <t>SO PLACAS SINALIZACAO LTDA</t>
  </si>
  <si>
    <t>07.639.351/0001-96</t>
  </si>
  <si>
    <t>(62) 3287-3170</t>
  </si>
  <si>
    <t>4.1</t>
  </si>
  <si>
    <t>4.2</t>
  </si>
  <si>
    <t>COMP. 01</t>
  </si>
  <si>
    <t>COMP. 18</t>
  </si>
  <si>
    <t>REMOÇÃO DE QUADRO DE SALA DE AULA (COM REAPROVEITAMENTO)</t>
  </si>
  <si>
    <t>COMP. 17</t>
  </si>
  <si>
    <t>COMP. 11</t>
  </si>
  <si>
    <t>5.2</t>
  </si>
  <si>
    <t>5.3</t>
  </si>
  <si>
    <t>6.1</t>
  </si>
  <si>
    <t>6.2</t>
  </si>
  <si>
    <t>6.3</t>
  </si>
  <si>
    <t>7.1</t>
  </si>
  <si>
    <t>7.2</t>
  </si>
  <si>
    <t>9.1</t>
  </si>
  <si>
    <t>9.2</t>
  </si>
  <si>
    <t>9.3</t>
  </si>
  <si>
    <t>10.1</t>
  </si>
  <si>
    <t>10.2</t>
  </si>
  <si>
    <t>10.3</t>
  </si>
  <si>
    <t>11.2</t>
  </si>
  <si>
    <t>PLACA DE IDENTIFICAÇÃO EM PVC ADESIVADO COM DIMENSÕES DE 40X15CM</t>
  </si>
  <si>
    <t>PLACA DE IDENTIFICAÇÃO EM PVC ADESIVADO COM DIMENSÕES DE 30X15CM</t>
  </si>
  <si>
    <t>Placas de identificações de ambientes (Adminstração e Sanitários)</t>
  </si>
  <si>
    <t>Placas de identificações de ambientes (Salas de aula)</t>
  </si>
  <si>
    <t>COMP. 23</t>
  </si>
  <si>
    <t>PLACA DE IDENTIFICAÇÃO EM PVC ADESVIADO, DIMENSÃO DE 40X15CM</t>
  </si>
  <si>
    <t>CACILIA E MAGALHAES LTDA (CENTRAL ARTES)</t>
  </si>
  <si>
    <t>03.691.588/0001-65</t>
  </si>
  <si>
    <t>(64) 3612-1511</t>
  </si>
  <si>
    <t>SMART PRINT COMUNICAÇÃO VISUAL LTDA</t>
  </si>
  <si>
    <t>38.119.300/0001-67</t>
  </si>
  <si>
    <t>(64) 99296-2384</t>
  </si>
  <si>
    <t>JBR PEREIRA LTDA (COLLOR PRINT IMPRESSÃO DIGITAL)</t>
  </si>
  <si>
    <t>11.313.040/0001-00</t>
  </si>
  <si>
    <t>(64) 3613-5344</t>
  </si>
  <si>
    <t>LUCAS GOMES PEREIRA DE BESSA (PRO DESIGN COMUNICAÇÃO VISUAL)</t>
  </si>
  <si>
    <t>30.441.838/0001-81</t>
  </si>
  <si>
    <t>(64) 99219-3571</t>
  </si>
  <si>
    <t>PLACA DE IDENTIFICAÇÃO EM PVC ADESVIADO, DIMENSÃO DE 30X15CM</t>
  </si>
  <si>
    <t>THIAGO CABRAL MESQUITA BARROS LTDA (GRAVURA COMUNICAÇÃO VISUAL)</t>
  </si>
  <si>
    <t>17.995.500/0001-03</t>
  </si>
  <si>
    <t>(64) 99995-8442</t>
  </si>
  <si>
    <t>COMP. 24</t>
  </si>
  <si>
    <t>COMP. 25</t>
  </si>
  <si>
    <t>14.1</t>
  </si>
  <si>
    <t>COMP. 36</t>
  </si>
  <si>
    <t>Centro de Inovação, Pesquisa e Pós-graduação</t>
  </si>
  <si>
    <t>PORTA DE CORRER TRÊS FOLHAS DE VIDRO TEMPERADO INCOLOR 8 MM; PERFIS EM ALUMÍNIO NA COR BRANCA 4,00 M X 3,00 M (FORNECIMENTO E INSTALAÇÃO)</t>
  </si>
  <si>
    <t>PORTA DE ABRIR DE VIDRO TEMPERADO INCOLOR 8 MM; COM BANDEIRA 0,90 M X 3,00 M (FORNECIMENTO E INSTALAÇÃO)</t>
  </si>
  <si>
    <t>PORTA DE CORRER SEIS FOLHAS DE VIDRO TEMPERADO INCOLOR 8 MM; PERFIS EM ALUMÍNIO NA COR BRANCA 7,40 M X 2,50 M (FORNECIMENTO E INSTALAÇÃO)</t>
  </si>
  <si>
    <t>JANELA DE CORRER 04 FOLHAS (DUAS FIXAS E DUAS MÓVEIS) FECHAMENTO CENTRAL COM BATE-FECHA 1,00 M X 1,50 M (FORNECIMENTO E INSTALAÇÃO)</t>
  </si>
  <si>
    <t>LETRAS EM CAIXA ALTA (“CENTRO DE INOVAÇÃO PESQUISA E PÓS GRADUAÇÃO”) EM ACRILICO LEITOSO COM PONTO DE LUZ (FORNECIMENTO E INSTALAÇÃO)</t>
  </si>
  <si>
    <t>LOGO METALIZADA NA COR PRATA “UNIRV” (FORNECIMENTO E INSTALAÇÃO)</t>
  </si>
  <si>
    <t>BRASÃO EM ACRÍLICO COM ILUMINAÇÃO E ADESIVO (FORNECIMENTO E INSTALAÇÃO)</t>
  </si>
  <si>
    <t>MOLA HIDRÁULICA PARA PORTA</t>
  </si>
  <si>
    <t>COMP. 41</t>
  </si>
  <si>
    <t>Subsecretaria</t>
  </si>
  <si>
    <t>(Ambientes identificados de acordo com a PLANTA BAIXA - A CONTRUIR)</t>
  </si>
  <si>
    <t>COMP. 42</t>
  </si>
  <si>
    <t>PORTA DE ABRIR DE 01 FOLHA (VENEZIANA/VIDRO) PF-3 C/FERRAGENS (SOMENTE INSTALAÇÃO)</t>
  </si>
  <si>
    <t>COMP. 43</t>
  </si>
  <si>
    <t>SL AULA 06 // Porta de aluminio com vidro reaproveitada (1,00 m x 2,10 m)</t>
  </si>
  <si>
    <t>4003 4848</t>
  </si>
  <si>
    <t>18.293.374/0001-08</t>
  </si>
  <si>
    <t>(19) 9 7422-6101</t>
  </si>
  <si>
    <t>JULIANO PVC COMERCIAL EIRELI (DISFOIL)</t>
  </si>
  <si>
    <t>G. P. SILVA GESSO</t>
  </si>
  <si>
    <t>09.000.350/0001-22</t>
  </si>
  <si>
    <t>(11) 2515-1338</t>
  </si>
  <si>
    <t>INSTALAÇÃO DE ALÇAPÃO DE METAL PARA GESSO ACARTONADO 50CM X 50CM</t>
  </si>
  <si>
    <t>COMP. 44</t>
  </si>
  <si>
    <t>Empresa âncora</t>
  </si>
  <si>
    <t>Coworking</t>
  </si>
  <si>
    <t>15.1</t>
  </si>
  <si>
    <t>15.2</t>
  </si>
  <si>
    <t>M2</t>
  </si>
  <si>
    <t>RECUPERAÇÃO E TRATAMENTO EM ESTRUTURAS DE CONCRETO</t>
  </si>
  <si>
    <t>Perfil U enrijecido 75 x 40 x 15 x 3 // Terças novas (TE-09, TE-10, TE-11 e TE-12) // Comprimento = 1211,23 m (tabela de levantamento de materiais do projeto de estrutura metálica); Massa linear = 3,8 kg/m; Peso total = 1211,23 x 3,8 = 4.602,67 kg</t>
  </si>
  <si>
    <t>Perfil U enrijecido 75 x 40 x 15 x 2 // Terças existentes a serem reposicionadas//  Comprimento = (75,76 x 6) + (25,33 x 2) = 505,22 m; Massa linear = 2,54 kg/m; Peso total = 505,22 x 2,54 = 1283,26 kg</t>
  </si>
  <si>
    <t>Terça U Enrijecido 75 x 40 x 15 x 2 // Fração não reaproveitada no reforço da cobertura // Extensão = 50,43 x 2 = 100,86 m // Volume = 0,000323 x 100,86 x 1,50 = 0,05 m³</t>
  </si>
  <si>
    <t>m³</t>
  </si>
  <si>
    <t>IRRIGAÇÃO</t>
  </si>
  <si>
    <t>REGISTRO PARA MANGUEIRA DE 1/2"</t>
  </si>
  <si>
    <t>Instalações hidráulicas de irrigação // Quantidade = 16 (Lista de Material fornecida pelo responsável técnico)</t>
  </si>
  <si>
    <t>SINAPI 103047</t>
  </si>
  <si>
    <t>REGISTRO DE ESFERA, PVC, SOLDÁVEL, COM VOLANTE, DN 20 MM - FORNECIMENTO E INSTALAÇÃO. AF_08/2021</t>
  </si>
  <si>
    <t>Instalações hidráulicas de irrigação // Quantidade = 02 (Lista de Material fornecida pelo responsável técnico)</t>
  </si>
  <si>
    <t>COTAÇÃO 30</t>
  </si>
  <si>
    <t>COTAÇÃO 31</t>
  </si>
  <si>
    <t>REGISTRO PARA MANGUEIRA 1/2" (IRRIGAÇÃO)</t>
  </si>
  <si>
    <t>COTAÇÃO 32</t>
  </si>
  <si>
    <t>INÍCIO DE LINHA IRRIGAÇÃO 1/2"</t>
  </si>
  <si>
    <t>COTAÇÃO 33</t>
  </si>
  <si>
    <t xml:space="preserve">INÍCIO DE LINHA 1/2" IRRIGAÇÃO </t>
  </si>
  <si>
    <t>FINAL DE LINHA 1/2" IRRIGAÇÃO</t>
  </si>
  <si>
    <t>FINAL DE LINHA IRRIGAÇÃO 1/2"</t>
  </si>
  <si>
    <t>Instalações hidráulicas de irrigação // Quantidade = 2 (Lista de Material fornecida pelo responsável técnico)</t>
  </si>
  <si>
    <t>Instalações hidráulicas de irrigação // Quantidade = 4,77 m (Lista de Material fornecida pelo responsável técnico)</t>
  </si>
  <si>
    <t>COTAÇÃO 34</t>
  </si>
  <si>
    <t>MANGUEIRA GOTEJADORA 1/2"</t>
  </si>
  <si>
    <t>Instalações hidráulicas de irrigação // Quantidade = 23,66 m (Lista de Material fornecida pelo responsável técnico)</t>
  </si>
  <si>
    <t>COTAÇÃO 35</t>
  </si>
  <si>
    <t>COTAÇÃO 36</t>
  </si>
  <si>
    <t>Instalações hidráulicas de irrigação // Quantidade = 14 (Lista de Material fornecida pelo responsável técnico)</t>
  </si>
  <si>
    <t>Instalações hidráulicas de irrigação // Quantidade = 192 unidades (Lista de Material fornecida pelo responsável técnico)</t>
  </si>
  <si>
    <t>COTAÇÃO 37</t>
  </si>
  <si>
    <t>Instalações hidráulicas de irrigação // Quantidade = 48 (Lista de Material fornecida pelo responsável técnico)</t>
  </si>
  <si>
    <t>Instalações hidráulicas de irrigação // Quantidade = 02 unidades (Lista de Material fornecida pelo responsável técnico)</t>
  </si>
  <si>
    <t>COTAÇÃO 38</t>
  </si>
  <si>
    <t xml:space="preserve">Instalações hidráulicas de Irrigação // Rasgos na alvenaria da fachada para encontrar tubulações de água fria (derivações) para alimentação dos tubos de irrigação // Extensão do rasgo = 0,30 m x 2 pontos de abertura (lado direito e lado esquerdo do logo) = 0,60 m </t>
  </si>
  <si>
    <t>Instalações de rede novas (Condulete de 1") - (Lista de materiais - Projeto Elétrico - Item 1.1.1)</t>
  </si>
  <si>
    <t>Instalações de redes novas - Sobrepor Condulete 1" 1xRJ-45 (Lista de materiais - Projeto Elétrico - Item 3.1.1)</t>
  </si>
  <si>
    <t>Instalações de redes novas - Sobrepor Condulete 1" 2xRJ-45 (Lista de materiais - Projeto Elétrico - Item 3.1.2)</t>
  </si>
  <si>
    <t>Instalações de rede novas (Lista de materiais - Projeto Elétrico - Item 4.3.1)</t>
  </si>
  <si>
    <t>Instalações de rede novas (Lista de materiais - Projeto Elétrico - Item 4.5.1)</t>
  </si>
  <si>
    <t>COMP. 45</t>
  </si>
  <si>
    <t xml:space="preserve">Un   </t>
  </si>
  <si>
    <t xml:space="preserve">  Un   </t>
  </si>
  <si>
    <t>Instalações de rede novas - (Lista de materiais - Projeto Elétrico - Item 1.6.1.1)</t>
  </si>
  <si>
    <t>Instalações elétricas novas - Tomada embutida na parede para televisão  (Lista de materiais - Projeto Elétrico - Elétrica item 1.1.1)</t>
  </si>
  <si>
    <t>Instalações elétricas novas (Lista de materiais - Projeto Elétrico - Elétrico 1.2.1)</t>
  </si>
  <si>
    <t>Instalação da iluminação da fachada - (Lista de materiais - Projeto Elétrico - Elétrica item 1.3.1)</t>
  </si>
  <si>
    <t>Instalações elétricas novas (Condulete de 1") - (Lista de materiais - Projeto Elétrico - Elétrica Item 1.4.1 e Item 1.4.2)</t>
  </si>
  <si>
    <t>Instalações elétricas novas - (Lista de materiais - Projeto Elétrico - Elétrica Item 1.5.1)</t>
  </si>
  <si>
    <t>Instalações de rede novas - (Lista de materiais - Projeto Elétrico - Cabeamento Item 1.2.1)</t>
  </si>
  <si>
    <t>Instalações elétricas novas - (Lista de materiais - Projeto Elétrico - Elétrica Item 1.6.1)</t>
  </si>
  <si>
    <t>Instalações de rede novas - (Lista de materiais - Projeto Elétrico - Cabeamento Item 1.3.1)</t>
  </si>
  <si>
    <t>Instalações elétricas novas (Lista de materiais - Projeto Elétrico - Elétrica Item 2.1.1)</t>
  </si>
  <si>
    <t>Instalações de rede novas  (Lista de materiais - Projeto Elétrico - Cabeamento Item 2.1.1)</t>
  </si>
  <si>
    <t>Instalações elétricas novas (Lista de materiais - Projeto Elétrico - Elétrica Item 2.1.2)</t>
  </si>
  <si>
    <t>Instalações de rede novas (Lista de materiais - Projeto Elétrico - Cabeamento Item 2.1.2)</t>
  </si>
  <si>
    <t>Instalações de rede novas - (Lista de materiais - Projeto Elétrico - Cabeamento Item 2.2.1)</t>
  </si>
  <si>
    <t>Instalações elétricas novas - (Lista de materiais - Projeto Elétrico - Elétrica Item 2.2.1)</t>
  </si>
  <si>
    <t>Instalações de rede novas - (Lista de materiais - Projeto Elétrico - Cabeamento Item 2.2.2)</t>
  </si>
  <si>
    <t>Instalações elétricas novas - (Lista de materiais - Projeto Elétrico - Elétrica Item 2.2.2)</t>
  </si>
  <si>
    <t>Instalações de redes novas - Paraduso 2,9x25mm autoatarrachante - (Lista de materiais - Projeto Elétrico - Cabeamento Item 2.3.1)</t>
  </si>
  <si>
    <t>Instalações elétricas novas - Parafuso 2,9x25mm autoatarrachante - (Lista de materiais - Projeto Elétrico - Elétrica item 2.3.1)</t>
  </si>
  <si>
    <t>Instalações de redes novas - Parafuso 4,2x32mm autoatarranchante - (Lista de materiais - Projeto Elétrico -Cabeamento Item 2.3.2)</t>
  </si>
  <si>
    <t>Instalações elétricas novas - Parafuso 4,2x32mm autoatarrachante - (Lista de materiais - Projeto Elétrico - Elétrica Item 2.3.2)</t>
  </si>
  <si>
    <t>Instalações elétricas novas - Parafuso 4,8x45mm autoatarrachante - (Lista de materiais - Projeto Elétrico - Elétrica Item 2.3.3)</t>
  </si>
  <si>
    <t>Instalações de redes novas - (Lista de materiais - Projeto Elétrico - Cabeamento Item 2.5.1)</t>
  </si>
  <si>
    <t>Instalações elétricas novas - Parafuso 1/4"x5/8" máquina rosca total - (Lista de materiais - Projeto Elétrico - Elétrica item 2.5.1)</t>
  </si>
  <si>
    <t>Instalações de rede novas (Lista de materiais - Projeto Elétrico - Cabeamento Item 2.4.1)</t>
  </si>
  <si>
    <t>Instalações elétricas novas (Lista de materiais - Projeto Elétrico - Elétrica Item 2.4.1)</t>
  </si>
  <si>
    <t>Instalações de redes novas  - (Lista de materiais - Projeto Elétrico - Cabeamento Item 2.6.1)</t>
  </si>
  <si>
    <t>Instalações elétricas novas  - (Lista de materiais - Projeto Elétrico - Elétrica Item 2.6.1)</t>
  </si>
  <si>
    <t>Instalações de rede novas (Lista de materiais - Projeto Elétrico - Cabeamento Item 2.6.2)</t>
  </si>
  <si>
    <t>Instalações elétricas novas (Lista de materiais - Projeto Elétrico - Elétrica Item 2.6.2)</t>
  </si>
  <si>
    <t>Instalações elétricas novas - Cabo 25,00 mm² azul claro - (Lista de materiais - Projeto Elétrico - Elétrica Item 3.1.2)</t>
  </si>
  <si>
    <t>Instalações elétricas novas - Cabo 25,00 mm² branco - (Lista de materiais - Projeto Elétrico - Elétrica Item 3.1.3)</t>
  </si>
  <si>
    <t>Instalações elétricas novas - Cabo 25,00 mm² preto - (Lista de materiais - Projeto Elétrico - Elétrica Item 3.1.4)</t>
  </si>
  <si>
    <t>Instalações elétricas novas - Cabo 25,00 mm² vermelho - (Lista de materiais - Projeto Elétrico - Elétrica Item 3.1.5)</t>
  </si>
  <si>
    <t>Instalações elétricas novas - Cabo 16,00 mm² verde amarelo - (Lista de materiais - Projeto Elétrico - Elétrica Item 3.1.1)</t>
  </si>
  <si>
    <t>Instalações elétricas novas - Cabo 6,00 mm² azul claro - (Lista de materiais - Projeto Elétrico - Elétrica Item 3.1.6)</t>
  </si>
  <si>
    <t>Instalações elétricas novas - Cabo 6,00 mm² branco - (Lista de materiais - Projeto Elétrico - Elétrica Item 3.1.7)</t>
  </si>
  <si>
    <t>Instalações elétricas novas - Cabo 6,00 mm² preto - (Lista de materiais - Projeto Elétrico - Elétrica Item 3.1.8)</t>
  </si>
  <si>
    <t>Instalações elétricas novas - Cabo 6,00 mm² verde-amarelo - (Lista de materiais - Projeto Elétrico - Elétrica Item 3.1.9)</t>
  </si>
  <si>
    <t>Instalações elétricas novas - Cabo 6,00 mm² vermelho - (Lista de materiais - Projeto Elétrico - Elétrica Item 3.1.10)</t>
  </si>
  <si>
    <t>Instalações elétricas novas - Cabo 2,5 mm² amarelo  - (Lista de materiais - Projeto Elétrico - Elétrica Item 4.1.1 e Item 4.2.1)</t>
  </si>
  <si>
    <t>Instalações elétricas novas - Cabo 2,5 mm² azul claro - (Lista de materiais - Projeto Elétrico - Elétrica Item 4.1.2 e Item 4.2.2)</t>
  </si>
  <si>
    <t>Instalações elétricas novas - Cabo 2,5 mm² branco - (Lista de materiais - Projeto Elétrico - Elétrica Item 4.1.3 e Item 4.2.3)</t>
  </si>
  <si>
    <t>Instalações elétricas novas - Cabo 2,5 mm² preto - (Lista de materiais - Projeto Elétrico - Elétrica Item 4.1.4 e Item 4.2.4)</t>
  </si>
  <si>
    <t>Instalações elétricas novas - Cabo 2,5 mm² vermelho - (Lista de materiais - Projeto Elétrico - Elétrica Item 4.2.6)</t>
  </si>
  <si>
    <t>Instalações elétricas novas - Cabo 2,5 mm² verde-amarelo - (Lista de materiais - Projeto Elétrico - Elétrica Item 4.2.5)</t>
  </si>
  <si>
    <t>Instalações elétricas novas - Cabo 4,0 mm² azul claro - (Lista de materiais - Projeto Elétrico - Elétrica Item 4.2.7)</t>
  </si>
  <si>
    <t>Instalações elétricas novas - Cabo 4,0 mm² branco - (Lista de materiais - Projeto Elétrico - Elétrica Item 4.2.8)</t>
  </si>
  <si>
    <t>Instalações elétricas novas - Cabo 4,0 mm² preto - (Lista de materiais - Projeto Elétrico - Elétrica Item 4.2.9)</t>
  </si>
  <si>
    <t>Instalações elétricas novas - Cabo 4,0 mm² verde-amarelo - (Lista de materiais - Projeto Elétrico - Elétrica Item 4.2.10)</t>
  </si>
  <si>
    <t>Instalações elétricas novas - Cabo 4,0 mm² vermelho - (Lista de materiais - Projeto Elétrico - Elétrica Item 4.2.11)</t>
  </si>
  <si>
    <t>Instalações elétricas novas - Sobrepor (Lista de materiais - Projeto Elétrico - Elétrica item 6.1.1)</t>
  </si>
  <si>
    <t>Instalações elétricas TV - Embutida com placa 4"x2" (Lista de materiais - Projeto Elétrico - Elétrica Item 5.1.1 e Item 5.2.1)</t>
  </si>
  <si>
    <t>Instalações elétricas novas - (Lista de materiais - Projeto Elétrico - Elétrica Item 6.1.3)</t>
  </si>
  <si>
    <t>Instalações elétricas novas - (Lista de materiais - Projeto Elétrico - Elétrica Item 6.1.2)</t>
  </si>
  <si>
    <t>Instalações elétricas novas - Tampa para condulete de 1" (Lista de materiais - Projeto Elétrico - Elétrica Item 6.1.4)</t>
  </si>
  <si>
    <t>Instalações elétricas novas - Sobrepor (Lista de materiais - Projeto Elétrico - Elétrica Item 6.1.6)</t>
  </si>
  <si>
    <t>Instalações elétricas novas - Sobrepor somente módulo sem placa (Lista de materiais - Projeto Elétrico - Elétrica 6.1.5)</t>
  </si>
  <si>
    <t xml:space="preserve">Instalações elétricas novas - Embutido no piso somente módulo redondo sem placa // Qtd = duas tomadas para cada caixa embutida no piso </t>
  </si>
  <si>
    <t>Instalações de redes novas - (Lista de materiais - Projeto Elétrico - Cabeamento Item 5.1.1)</t>
  </si>
  <si>
    <t>Instações elétricas novas - Disjuntor Unipolar Termomagnético Normal DIN (Curva C) 10A 3kA - (Lista de materiais - Projeto Elétrico - Elétrica Item 7.2.1)</t>
  </si>
  <si>
    <t>Instações elétricas novas - Disjuntor Unipolar Termomagnético Normal DIN (Curva C) 16A 10kA - (Lista de materiais - Projeto Elétrico - Elétrica Item 7.2.2)</t>
  </si>
  <si>
    <t>Instações elétricas novas - Disjuntor Unipolar Termomagnético Normal DIN (Curva C) 20A 10kA - (Lista de materiais - Projeto Elétrico - Elétrica Item 7.2.3)</t>
  </si>
  <si>
    <t>Instações elétricas novas - Disjuntor Tripolar termomagnético normal DIN (Curva C) 25A 10KA - (Lista de materiais - Projeto Elétrico - Elétrica Item 7.1.1)</t>
  </si>
  <si>
    <t>Instações elétricas novas - Disjuntor Tripolar termomagnético normal DIN (Curva C) 63A 10KA - (Lista de materiais - Projeto Elétrico - Elétrica Item 7.1.2)</t>
  </si>
  <si>
    <t>Instalações de rede novas - (Lista de materiais - Projeto Elétrico - Cabeamento Item 4.1.1)</t>
  </si>
  <si>
    <t>Instalações elétricas novas - (Lista de materiais - Projeto Elétrico - Elétrica Item 8.1.1)</t>
  </si>
  <si>
    <t>Instalações de rede novas (Lista de materiais - Projeto Elétrico - Cabeamento Item 4.2.1)</t>
  </si>
  <si>
    <t>Instalações elétricas novas (Lista de materiais - Projeto Elétrico - Elétrica Item 8.2.1)</t>
  </si>
  <si>
    <t>Instalações elétricas novas (Lista de materiais - Projeto Elétrico - Elétrica Item 8.3.1)</t>
  </si>
  <si>
    <t>Instalações de rede novas (Lista de materiais - Projeto Elétrico - Cabeamento Item 4.4.1)</t>
  </si>
  <si>
    <t>Instalações elétricas novas (Lista de materiais - Projeto Elétrico - Elétrica Item 8.4.1)</t>
  </si>
  <si>
    <t>Instalações elétricas novas - (Lista de materiais - Projeto Elétrico - Elétrica Item 9.1.1)</t>
  </si>
  <si>
    <t>Instalações elétricas novas - (Lista de materiais - Projeto Elétrico - Elétrica Item 9.2.2)</t>
  </si>
  <si>
    <t>Instalações elétricas novas - (Lista de materiais - Projeto Elétrico - Elétrica Item 9.2.1)</t>
  </si>
  <si>
    <t>Instalações elétricas novas - (Lista de materiais - Projeto Elétrico - Elétrica Item 10.2.1)</t>
  </si>
  <si>
    <t>Instalações elétricas novas - (Lista de materiais - Projeto Elétrico - Elétrica Item 10.2.2)</t>
  </si>
  <si>
    <t>Instalações elétricas novas (Lista de materiais - Projeto Elétrico - Elétrica Item 11.1.1)</t>
  </si>
  <si>
    <t>Instalações elétricas novas (Lista de materiais - Projeto Elétrico - Elétrica Item 12.1.1)</t>
  </si>
  <si>
    <t>Instalações elétricas novas (Lista de materiais - Projeto Elétrico - Elétrica Item 13.1.1)</t>
  </si>
  <si>
    <t>Instalações elétricas novas - (Lista de materiais - Projeto Elétrico - Elétrica Item 12.1.2)</t>
  </si>
  <si>
    <t>Instalações de HDMI Sala dos Professores - (Lista de materiais - Projeto Elétrico - Lógica Item 1.1.1)</t>
  </si>
  <si>
    <t>Instalações aparentes nas Salas de Aula - (Lista de Materiais - Projeto Elétrico - Loógica Item 1.2.1)</t>
  </si>
  <si>
    <t>Instalações elétricas novas</t>
  </si>
  <si>
    <t>Instalações de rede novas</t>
  </si>
  <si>
    <t xml:space="preserve">Instalações aparentes nas Salas de Aula </t>
  </si>
  <si>
    <t>Instalações aparentes nas Salas de Aula - (Lista de Materiais - Projeto Elétrico - Loógica Item 1.3.1)</t>
  </si>
  <si>
    <t>Instalações aparentes nas Salas de Aula - (Lista de Materiais - Projeto Elétrico - Loógica Item 2.1.1)</t>
  </si>
  <si>
    <t>Instalações aparentes nas Salas de Aula - Parafuso 2,9x25mm autoatarrachante (Lista de Materiais - Projeto Elétrico - Lógica Item 2.1.1)</t>
  </si>
  <si>
    <t>Instalações HDMI Sala dos Professora (Lista de materiais - Projeto Elétrico - Lógica Item 3.1.1)</t>
  </si>
  <si>
    <t>COMP. 46</t>
  </si>
  <si>
    <t xml:space="preserve">MODULO TOMADA HDMI </t>
  </si>
  <si>
    <t>Instalações aparentes nas Salas de Aula (Lista de materiais - Projeto Elétrico - Lógica Item 4.1.1)</t>
  </si>
  <si>
    <t>Instalações aparentes nas Salas de Aula - Tampa uma função para Módulo HDMI (Lista de materiais - Projeto Elétrico - Lógica Item 4.1.1)</t>
  </si>
  <si>
    <t>Instalações elétricas novas - Tampa para Condulete 1" (Lista de materiais - Projeto Elétrico - Elétrica Item 6.1.2)</t>
  </si>
  <si>
    <t>Instalações elétricas novas - Tampa para Condulete 1" (Lista de materiais - Projeto Elétrico - Elétrica Item 6.1.3)</t>
  </si>
  <si>
    <t>Contraventamento das terças da estrutura do telhado // Peso Total = 871,60 kg</t>
  </si>
  <si>
    <t>Porcas 1/2 - Fixação dos contraventamentos // Quantidade = 1648 unidades // Peso teórico = 0,0159 kg/unidade // Peso total = 1648 x 0,0159 = 26,20 kg</t>
  </si>
  <si>
    <t>Arruelas 1/2 - Fixação dos contraventamentos // Quantidade = 1648 unidades // Peso teórico = 0,01429 kg/unidade // Peso total = 1648 x 0,01429 = 23,55 kg</t>
  </si>
  <si>
    <t>Correntes do contraventamento das terças da estrutura do telhado // Área = (2 x pi x 0,00635) x 973,47 m = 38,84 m²</t>
  </si>
  <si>
    <t>Perfil U enrijecido 75 x 40 x 15 x 3 // Perímetro = 0,37 m // Extensão = 1211,23m // Área de pintura = 0,37 x 1211,23 = 448,16 m²</t>
  </si>
  <si>
    <t>Instalações de rede novas - (Lista de materiais - Projeto Elétrico - Cabeamento Item 1.6.2.1)</t>
  </si>
  <si>
    <t>Instalações elétricas novas - (Lista de materiais - Projeto Elétrico - Item 10.1.1)</t>
  </si>
  <si>
    <t>Instalações elétricas novas - (Lista de materiais - Projeto Elétrico - Item 10.1.2)</t>
  </si>
  <si>
    <t xml:space="preserve">Instalações elétricas novas - Aterramento das instalações elétricas </t>
  </si>
  <si>
    <t>Instalações elétricas novas // Qtd = 107 pçs de 0,50 m (Lista de materiais - Projeto Elétrico - Elétrica Item 2.8.1)</t>
  </si>
  <si>
    <t>Instalações de rede novas // Qtd = 111 pçs de 0,50 m  (Lista de materiais - Projeto Elétrico - Cabeamento Item 2.8.1)</t>
  </si>
  <si>
    <t>Instalações elétricas novas - Embutido no piso somente módulo redondo sem placa</t>
  </si>
  <si>
    <t>m²</t>
  </si>
  <si>
    <t>Remoção das calhas existentes // Cobertura Principal // Trecho lateral direito // Dimensões da calha 25 cm x 25 cm // Extensão = 70,83 m // Área de calha = (0,25 + 0,25 + 0,25) x 70,83 = 53,12 m²</t>
  </si>
  <si>
    <t>Remoção das calhas existentes // Cobertura Principal // Trecho intermediário (região frontal) // Dimensões da calha 12 cm x 30 cm // Extensão = 25,85 m // Área de calha = (0,12 + 0,30 + 0,30) x 25,85 = 18,61 m²</t>
  </si>
  <si>
    <t>Remoção das calhas existentes // Cobertura Principal // Trecho intermediário (região posterior // 02 trechos de 45,0 m) // Dimensões da calha 25 cm x 35 cm // Extensão = 45 x 2 = 90 m // Área de calha = (0,25 + 0,35 + 0,35) x 90 = 85,50 m²</t>
  </si>
  <si>
    <t>Remoção das calhas existentes // Cobertura Principal // Trecho lateral esquerdo // Dimensões da calha 25 cm x 35 cm // Extensão = 70,83 m // Área de calha = (0,25 + 0,35 + 0,35) x 70,83 = 67,29 m²</t>
  </si>
  <si>
    <t>Remoção dos rufos existentes // Cobertura Principal // Extensão = 26,86 + 26,86  = 53,72 m // Desenvolvimento = 0,30 m (estimado) // Área de rufo = 0,30 x 53,72 = 16,12 m²</t>
  </si>
  <si>
    <t>Remoção dos rufos existentes // Cobertura da fachada (região de avanço) // Extensão = 11,35 m // Desenvolvimento = 0,30 m (estimado) // Área de rufo = 0,30 x 11,35 = 3,41 m²</t>
  </si>
  <si>
    <t xml:space="preserve">Remoção da cobertura da Fachada - Região de avanço // Área = 11,35 x 1,80 = 20,43 m² </t>
  </si>
  <si>
    <t>Cobertura Prédio Principal // Substituição de todas as telhas // Área = 850,992 x 2 = 1701,98 m²</t>
  </si>
  <si>
    <t xml:space="preserve">Rufo - Cobertura principal // Extensão = 27,28 + 27,28 = 54,56 m </t>
  </si>
  <si>
    <t>Calçada Externa = 859,94 + (2197,44 - 1967,692) = 1089,69 m²</t>
  </si>
  <si>
    <t>J04 (3,00 m x 1,00 m) -  Quantidade = 1 (Sala de professores / Coordenação 01)</t>
  </si>
  <si>
    <t>TELA METÁLICA - ESTUQUE</t>
  </si>
  <si>
    <t>Aplicação de tela no revestimento argamassado da Sala dos Professores / Coordenação 01 // Área de alvenaria de fechamento após remoção da janela J04 // Perímetro = 3,0 + 3,0 + 1,0 + 1,0 = 8,0 m // Espessura de aplicação da tela = 0,40 m // Área de aplicação de tela = 8,0 x 0,40 x 2 faces = 6,40 m²</t>
  </si>
  <si>
    <t>Circulação/ Sala de Professores (Coordenação 01) (Porta a construir) // Volume de demolição = (1,00 x 2,10 x 0,15) = 0,32 m³</t>
  </si>
  <si>
    <t>Sala de professores/ Diretoria (Coordenação 01 / Subsecretaria) (Porta a construir) // Volume de demolição = (1,00 x 2,10 x 0,15) = 0,32 m³</t>
  </si>
  <si>
    <t>UND</t>
  </si>
  <si>
    <t>Sala dos Professores / Coordenação 01 // Portas novas = 02 unidades</t>
  </si>
  <si>
    <t>Sala dos Professores / Coordenação 01 // Instalação de soleiras nos locais em que haverá demolição da alvenaria para instalação de portas // Extensão = 1,0 m // Largura = 0,15 m // Área = 0,15 x 1,0 x 2 portas = 0,30 m²</t>
  </si>
  <si>
    <t xml:space="preserve">REMOÇÃO DE PEITORIL </t>
  </si>
  <si>
    <t xml:space="preserve">Sala dos Professores / Coordenação 01 // Remoção de peitoril // Extensão = 3,0 m </t>
  </si>
  <si>
    <t>PERSIANA ROLO SEM BOX TECIDO BLACKOUT 1,10 X 2,20M (FORNECIMENTO E INSTALAÇÃO)</t>
  </si>
  <si>
    <t>Pintura do forro de gesso acartonado (Ambientes identificados de acordo com PLANTA BAIXA- À CONSTRUIR)</t>
  </si>
  <si>
    <t>Sala dos Professores / Coordenação 01 (01 unidade)</t>
  </si>
  <si>
    <t xml:space="preserve">Circulação // Acesso a subsecretaria // Área = 2,10 x 1,0 = 2,10 m² </t>
  </si>
  <si>
    <t>Circulação / Subsecretaria (02 unidades)</t>
  </si>
  <si>
    <t>Subsecretaria/ Circ/ Diretoria // Volume de alvenaria = (4,70 + 3,65 + 1,20) x 3,00 x 0,15 = 4,30 m³; Volume aberturas = (1,00 x 2,10 x 0,15) + (1,00 x 2,10 x 0,15) = 0,63 m³; Volume de demolição = 4,30 - 0,63 = 3,67 m³</t>
  </si>
  <si>
    <t>Subsecretaria (Abertura para o guichê) // Volume de alvenaria = 2,00 x 1,00 x 0,15 = 0,30 m³</t>
  </si>
  <si>
    <t>Fechamento abertura Guichê Centro Acadêmico // Área = 2,00 x 1,00 = 2,00 x 2 = 4,00 m²</t>
  </si>
  <si>
    <t>Requadro da alvenaria após demolição da alvenaria para execução de guichê // Perímetro = 2,0 + 1,0 + 2,0 + 1,0 = 6,0 m // Largura = 0,15 m // Área = 6,0 x 0,15 = 0,90 m²</t>
  </si>
  <si>
    <t>Subsecretaria // Porta nova = 01 unidade</t>
  </si>
  <si>
    <t>Subsecretaria - Guichê // Instalação de pedra // Extensão = 2,0 m // Largura = 0,50 m // Área = 0,50 x 2,0 = 1,0 m²</t>
  </si>
  <si>
    <t>Subsecretaria &gt;&gt; Coordenação 02 // Porta nova = 01 unidade</t>
  </si>
  <si>
    <t xml:space="preserve">Subsecretaria // Reparo de piso após remoção das alvenarias de divisão // Extensão = 3,65 + 4,70 + 1,20 = 9,55 m // Largura = 0,30 m </t>
  </si>
  <si>
    <t>Sala de Aula 01 // Quantidade = 01</t>
  </si>
  <si>
    <t>Sala de Aula 01 / Demolição da alvenaria para execução de porta de acesso // Dimensão da porta 0,90 m x 2,10 m // Altura de vão já aberto devido a presença de uma janela (a ser removida) = 0,40 m // Volume de alvenaria a ser demolida = 0,90 x (2,10 - 0,40) x 0,15 = 0,23 m³</t>
  </si>
  <si>
    <t>Fechamento abertura Janela Sala de Aula 01 // Área = 2,00 x 1,00 = 2,00 m² // Área destinada ao posicionamento da porta = 0,90 x 0,40 = 0,36 m² // Área liquida de fechamento do vão = 2,0 - 0,36 = 1,64 m²</t>
  </si>
  <si>
    <t>Fechamento abertura Janela Sala de Aula 01 // Área = 2,00 x 1,00 = 2,00 m² // Área destinada ao posicionamento da porta = 0,90 x 0,40 = 0,36 m² // Área liquida de fechamento do vão = 2,0 - 0,36 = 1,64 m² x 2 faces = 3,28 m²</t>
  </si>
  <si>
    <t>Sala dos Professores // Porta nova = 01 unidade</t>
  </si>
  <si>
    <t>Sala de Aula 01</t>
  </si>
  <si>
    <t>Sala dos professores // Área total = 8,00 x 3,00 = 24,0 m²</t>
  </si>
  <si>
    <t>Divisória Sala dos Professores // Área = 8,0 x 3,0 = 24,0 m² x 2 faces = 48,0 m²</t>
  </si>
  <si>
    <t xml:space="preserve">Coordenação 02 / Sala dos Professores // Execução de rodapé na divisória de gesso acartonado a ser executada // Extensão = 8,0 m x 2 faces = 16,0 m </t>
  </si>
  <si>
    <t xml:space="preserve">Coordenação 02 // Extensão = 2,30 m // Dimensões 0,15 m x 0,10 m </t>
  </si>
  <si>
    <t>Subsecretaria - Coordenação 02 // Instalação de soleira no local em haverá demolição da alvenaria para instalação de porta // Extensão = 1,0 m // Largura = 0,15 m // Área = 1,0 x 0,15 = 0,15 m²</t>
  </si>
  <si>
    <t>Coordenação 02 // Instalação de soleira no local em haverá demolição da alvenaria para instalação de porta // Extensão = 1,0 m // Largura = 0,15 m // Área = 1,0 x 0,15 = 0,15 m²</t>
  </si>
  <si>
    <t>Sala de Aula 02 (01 unidade)</t>
  </si>
  <si>
    <t>Sala de Aula 03 (01 unidade)</t>
  </si>
  <si>
    <t>Sala de Aula 04 (01 unidade)</t>
  </si>
  <si>
    <t>Sala de Aula 05 (01 unidade)</t>
  </si>
  <si>
    <t>Sala de Aula 06 (01 unidade)</t>
  </si>
  <si>
    <t>Sala de Aula 03 // Quantidade = 03</t>
  </si>
  <si>
    <t>Sala de Aula 04 // Quantidade = 03</t>
  </si>
  <si>
    <t>Sala de Aula 05 // Quantidade = 03</t>
  </si>
  <si>
    <t>Sala de Aula 06 // Quantidade = 03</t>
  </si>
  <si>
    <t>Sala de Aula 02/ Circulação - Volume de alvenaria a ser demolida // Área de aberturas novas = (2,25 x 4,0) + (2,25 x 2,30) + (2,25 x 2,85) = 20,58 m² // Área de aberturas já existentes em função das esquadrias = 3 janelas x 2,0 m x 1,0 m = 6 m² ; Área de porta = 0,90 x (2,10 - 0,80) = 1,17 m² ; Area total de abertura = 1,17 + 6,0 = 7,17 m² // Área líquida de demolição = 20,58 - 7,17 = 13,41 m² // Volume de alvenaria a ser demolida = 13,41 x 0,15 = 2,01 m³</t>
  </si>
  <si>
    <t>(Ambientes identificados de acordo com a PLANTA BAIXA - DEMOLIÇÃO)</t>
  </si>
  <si>
    <t>Sala 02 // Fechamento de vão após remoção da porta // Área = 0,80 m x 0,90 m = 0,72 m² // Obs.: Trata-se de um fechamento parcial; somente trecho referente ao peitoril.</t>
  </si>
  <si>
    <t>Sala 02 // Fechamento de vão após remoção da porta // Área = 0,80 m x 0,90 m = 0,72 m² x 2 faces = 1,44 m² // Obs.: Trata-se de um fechamento parcial; somente trecho referente ao peitoril.</t>
  </si>
  <si>
    <t>Sala 02 // Requadro alvenaria para instalação das novas esquadrias // Perímetro = (4,0 + 2,25 + 4,0 + 2,25) + (2,30 + 2,25 + 2,30 + 2,25) + (2,85 + 2,85 + 2,25 + 2,25) = 31,80 m // Área = 31,80 x 0,15 = 4,77 m²</t>
  </si>
  <si>
    <t>Sala 02 / Sala 03 // Requadro dos pilares após demolição da alvenaria // Área = (0,15 + 0,15 + 0,15 + 0,15) x 3,0 = 1,80 m²</t>
  </si>
  <si>
    <t>Sala de Aula 03 / Circulação - Volume de alvenaria a ser demolida // Área de aberturas novas = (3,05 x 4,0) + (2,30 x 2,25) + (2,25 x 2,85) = 23,78 m² // Área de aberturas existentes = (0,90 x 2,10) + (2,0 x 1,0 x 3) = 7,89 m² // Área liquida a ser demolida = 23,78 - 7,89 = 15,89 m² // Volume = 15,89 x 0,15 = 2,38 m³</t>
  </si>
  <si>
    <t>Sala 03 / Sala 04 // Requadro dos pilares após demolição da alvenaria // Área = (0,15 + 0,15 + 0,15 + 0,15) x 3,0 = 1,80 m²</t>
  </si>
  <si>
    <t>Sala 3 // Requadro alvenaria para instalação das novas esquadrias // Perímetro = (3,0 + 4,0 + 3,0) + (2,30 + 2,25 + 2,30 + 2,25) + (2,85 + 2,85 + 2,25 + 2,25) = 29,30 m // Área = 29,30 x 0,15 = 4,40 m²</t>
  </si>
  <si>
    <t>Sala 4 // Requadro alvenaria para instalação das novas esquadrias // Perímetro = (3,0 + 4,0 + 3,0) + (2,30 + 2,25 + 2,30 + 2,25) + (2,85 + 2,85 + 2,25 + 2,25) = 29,30 m // Área = 29,30 x 0,15 = 4,40 m²</t>
  </si>
  <si>
    <t>Sala de Aula 04 / Circulação - Volume de alvenaria a ser demolida // Área de aberturas novas = (3,05 x 4,0) + (2,30 x 2,25) + (2,25 x 2,85) = 23,78 m² // Área de aberturas existentes = (0,90 x 2,10) + (2,0 x 1,0 x 3) = 7,89 m² // Área liquida a ser demolida = 23,78 - 7,89 = 15,89 m² // Volume = 15,89 x 0,15 = 2,38 m³</t>
  </si>
  <si>
    <t>Sala de Aula 04/ Sala de Aula 05 - Volume de alvenaria  = ((2,25 + 2,25 + 2,60) x 3 x 0,15 = 3,20 m³;</t>
  </si>
  <si>
    <t>Sala 04 / Sala 05 // Requadro dos pilares após demolição da alvenaria // Área = (0,15 + 0,15 + 0,15 + 0,15 + 0,15 +0,15) x 3,0 = 2,70 m²</t>
  </si>
  <si>
    <t>Sala de Aula 05 / Circulação - Volume de alvenaria a ser demolida // Área de aberturas novas = (3,05 x 4,0) + (2,30 x 2,25) + (2,25 x 2,85) = 23,78 m² // Área de aberturas existentes = (0,90 x 2,10) + (2,0 x 1,0 x 3) = 7,89 m² // Área liquida a ser demolida = 23,78 - 7,89 = 15,89 m² // Volume = 15,89 x 0,15 = 2,38 m³</t>
  </si>
  <si>
    <t>Sala 5 // Requadro alvenaria para instalação das novas esquadrias // Perímetro = (3,0 + 4,0 + 3,0) + (2,30 + 2,25 + 2,30 + 2,25) + (2,85 + 2,85 + 2,25 + 2,25) = 29,30 m // Área = 29,30 x 0,15 = 4,40 m²</t>
  </si>
  <si>
    <t>Sala de Aula 06/ Circulação - Volume de alvenaria a ser demolida // Área de aberturas novas = (2,25 x 4,0) + (2,25 x 2,30) + (2,25 x 2,85) = 20,58 m² // Área de aberturas já existentes em função das esquadrias = 3 janelas x 2,0 m x 1,0 m = 6 m² ; Área de porta = 0,90 x (2,10 - 0,80) = 1,17 m² ; Area total de abertura = 1,17 + 6,0 = 7,17 m² // Área líquida de demolição = 20,58 - 7,17 = 13,41 m² // Volume de alvenaria a ser demolida = 13,41 x 0,15 = 2,01 m³</t>
  </si>
  <si>
    <t>Sala 06 // Fechamento de vão após remoção da porta // Área = 0,80 m x 0,90 m = 0,72 m² // Obs.: Trata-se de um fechamento parcial; somente trecho referente ao peitoril.</t>
  </si>
  <si>
    <t>Sala 06 // Fechamento de vão após remoção da porta // Área = 0,80 m x 0,90 m = 0,72 m² x 2 faces = 1,44 m² // Obs.: Trata-se de um fechamento parcial; somente trecho referente ao peitoril.</t>
  </si>
  <si>
    <t>RASPAGEM DO PISO (REMOÇÃO DE RESINA)</t>
  </si>
  <si>
    <t>SINAPI 101727</t>
  </si>
  <si>
    <t>PISO VINILICO SEMI-FLEXÍVEL EM PLACAS, PADRÃO LISO, ESPESSURA 3,20 NN, FIXADO COM COLA</t>
  </si>
  <si>
    <t xml:space="preserve">DEMOLIÇÃO DE RODAPÉ DE GRANITINA </t>
  </si>
  <si>
    <t>Empresa Âncora 01 ; SR01 ; SR02 ; SR03 ; SR04; SR05; SR06; Coworking; Prototipagem // Alvenaria com altura de 0,80 m ; Extensão = 10,80 + 6,90 + 6,90 + 16,93 = 41,53 m // Área = 41,53 x 0,80 = 33,22 m²</t>
  </si>
  <si>
    <t>Empresa Âncora 01 ; SR01 ; SR02 ; SR03 ; SR04; SR05; SR06; Coworking; Prototipagem // Pilares centrais // Perímetro dos pilares = (0,15 + 0,15 + 0,35 + 0,35) x 5 = 5 m // Altura = 2,20 m // Área = 2,20 x 5 = 11,0 m²</t>
  </si>
  <si>
    <t xml:space="preserve">Remoção do rodapé de granitina dos ambientes em que serão instaladas placas vinílicas // Empresa Ancora, SR01, SR02, SR03, SR04, Coworking, SR05, SR06 e Prototipagem // Extensão = 8,0 + 9,85 + 2,95 + 2,95 + 9,85 + 2,95 + 2,95 + 19,85 + 2,95 + 2,95 + 9,85 + 8,0 + 9,85 + 0,20 + 0,20 + 5,85 + 0,20 + 5,85 + 0,20 + 5,85 + 0,20 + 9,85 = 121,35 m </t>
  </si>
  <si>
    <t xml:space="preserve">Remoção do rodapé de granitina dos ambientes em que serão instaladas placas vinílicas // Empresa Ancora, SR01, SR02, SR03, SR04, Coworking, SR05, SR06 e Prototipagem // Extensão = 8,0 + 9,85 + 2,95 + 0,15 + 2,95 + 9,85 + 2,95 + 0,15 + 0,15 +  2,95 + 19,85 + 2,95 + 0,15 + 2,95 + 9,85 + 8,0 + 9,85 + 0,20 + 0,15 + 0,20 + 5,85 + 0,20 + 0,15 + 5,85 + 0,20 + 0,15 + 5,85 + 0,20 + 0,15 + 9,85 = 122,55 m </t>
  </si>
  <si>
    <t>Empresa Âncora 01 ; SR01 ; SR02 ; SR03 ; SR04; SR05; SR06; Coworking; Prototipagem // Alvenaria com altura de 3,0 m ; Extensão = 83,60 m // Área bruta = 83,60 x 3,0 = 250,80 m² // Área de aberturas = 20 x 1,50 x 1,0 = 30 m² // Área liquida = 250,80 - 30 = 220,80 m²</t>
  </si>
  <si>
    <t>Empresa Âncora 01 ; SR01 ; SR02 ; SR03 ; SR04; SR05; SR06; Coworking; Prototipagem // Alvenaria entre ambientes e circulação // Elementos de vedação e pilares (considerando somente altura entre 0,80 m e 2,20 m) // Perímetro = ((0,35 + 0,05 + 0,05) x 2) + ((0,25 + 0,15 + 0,25) + (0,35 + 0,05) + (0,35 + 0,05 + 0,05) + (0,25 + 0,15 + 0,25) + (0,35 + 0,05) + (0,05 + 0,35 + 0,05) + (0,25 + 0,15 + 0,25) + (0,35 + 0,05) + (0,05 + 0,35 + 0,05) + (0,25 + 0,15 + 0,25) + (0,05 + 0,35 + 0,05) + (0,05 + 0,35 + 0,05) = 6,95 m // Altura = 2,20 - 0,80 = 1,40 m // Área = 6,95 x 1,40 = 9,73 m²</t>
  </si>
  <si>
    <t>SR 02/ SR 03 // Área total = 2,95 x 0,80 = 2,36 m² (Paredes com altura de 0,80 m)</t>
  </si>
  <si>
    <t>SR 03/ SR 04 // Área total = 2,95 x 0,80 = 2,36 m² (Paredes com altura de 0,80 m)</t>
  </si>
  <si>
    <t>SR 02/ SR 03 // Área total = 2,95 x 0,80 = 2,36 m² x 2 faces = 4,72 m² (Paredes com altura de 0,80 m)</t>
  </si>
  <si>
    <t>SR 03/ SR 04 // Área total = 2,95 x 0,80 = 2,36 m² x 2 faces = 4,72 m² (Paredes com altura de 0,80 m)</t>
  </si>
  <si>
    <t>SINAPI 101965</t>
  </si>
  <si>
    <t>PEITORIL LINEAR EM GRANITO, L = 15 CM, ASSENTADO COM ARGAMASSA 1:6 COM ADITIVO</t>
  </si>
  <si>
    <t xml:space="preserve">Empresa Ancora // Extensão = 4,0 + 2,30 = 6,30 m </t>
  </si>
  <si>
    <t xml:space="preserve">Coworking // Extensão = 2,85 + 2,65 + 2,85 + 2,30 + 2,85 + 2,30 + 2,85 + 4,0 + 2,30 + 2,85 =  27,80 m </t>
  </si>
  <si>
    <t xml:space="preserve">SR01 / SR02 // Extensão = 2,95 x 2 faces = 5,90 m </t>
  </si>
  <si>
    <t xml:space="preserve">SR02 / SR03 // Extensão = 2,95 x 2 faces = 5,90 m </t>
  </si>
  <si>
    <t>Coworking // Instalação de soleiras nos locais em que serão executadas novas portas // 3 portas de 4,0 m // Área = 3 x 4 x 0,15 = 1,80 m²</t>
  </si>
  <si>
    <t>Coworking // Shaft em gesso acartonado // Extensão = 0,70 + 0,10 + 0,10 = 0,90 m // Área = 0,90 x 3,0 = 2,70 m²</t>
  </si>
  <si>
    <t>P04 (Depósito - Fachada Lateral Esquerda) (1,25 m x 2,10 m) - Quantidade = 1</t>
  </si>
  <si>
    <t>P13 (Depósito - Compartimentação interna) (1,25 m x 2,10 m) - Quantidade = 1</t>
  </si>
  <si>
    <t>J05 (1,50 m x 1,00 m) -  Quantidade = 3 (Depósito)</t>
  </si>
  <si>
    <t>J06 (2,00 m x 1,00 m) -  Quantidade = 2 (Depósito)</t>
  </si>
  <si>
    <t xml:space="preserve">Depósito / Sala de Aula 06 // Reparo de piso após remoção das alvenarias intermediárias // Extensão = 8,0 m // Largura = 0,30 m </t>
  </si>
  <si>
    <t xml:space="preserve">Salas de Aula (6 salas de aula)// Perímetro = 35,70 m; Pé direito = 3,00 m; Aberturas = (1,50 x 1,00) x 4 + (2,00 x 1,00) x 3 + (1,00 x 2,10) = 14,10 m² // Área = ((35,70 x 3,00) - 14,10) x 6 = 558,00 m² </t>
  </si>
  <si>
    <t>Sala de Aula 06</t>
  </si>
  <si>
    <t>Circulação/ Sala de Aula 12 (depósito) (porta a construir) - Volume de alvenaria = 2,10 x 1,0 x 0,15 = 0,32 m³</t>
  </si>
  <si>
    <t>Requadro da alvenaria no local de demolição da porta Sala de Aula 12 (Depósito) // Área de requadro = (2,10 + 1,00 + 2,10) x 0,15 = 0,78 m²</t>
  </si>
  <si>
    <t>Depósito // Janela Blindex a ser instalada // Volume de alvenaria = 2,0 x 1,0 x 0,15 = 0,30 m³</t>
  </si>
  <si>
    <t>Requadro da alvenaria após remoção das janelas venezianas do Depósito para instalação de novas janelas // Área = (((1,50 + 1,0 + 1,50 + 1,0) x 3) + ((2,0 + 2,0 + 1,0 + 1,0) x 2)) x 0,15 = 4,05 m²</t>
  </si>
  <si>
    <t>Requadro da alvenaria do Depósito após demolição para instalação janela blindex // Área = (2,0 + 2,0 + 1,0 + 1,0) x 0,15 = 0,90 m²</t>
  </si>
  <si>
    <t>REMOÇÃO DE EXAUSTOR</t>
  </si>
  <si>
    <t>SL AULA 06 // Janelas de correr 4 folhas de vidro reaproveitadas (2,0 m x 1,00 m) // Quantidade = 03</t>
  </si>
  <si>
    <t>Alvenaria para fechamento de buraco de exaustor // Sala de determinações. Área = pi x 0,50² / 4 = 0,20 m²</t>
  </si>
  <si>
    <t xml:space="preserve">Sala 06 // Extensão = (3 janelas x 2,0 m) + (4 janelas x 1,50 m) = 12 m </t>
  </si>
  <si>
    <t>Fechamento abertura porta de fora Depósito // Área = 1,00 x 2,10 = 2,10 m² x 2 faces</t>
  </si>
  <si>
    <t>Fechamento abertura porta de fora Depósito // Área = 1,00 x 2,10 = 2,10 m² x 2 faces = 4,20 m²</t>
  </si>
  <si>
    <t>Sala de Aula 02</t>
  </si>
  <si>
    <t>Sala de Aula 03</t>
  </si>
  <si>
    <t>Sala de Aula 04</t>
  </si>
  <si>
    <t>Sala de Aula 05</t>
  </si>
  <si>
    <t xml:space="preserve">J02 (2,00 m x 1,00 m) -  Quantidade = 1 (guichê - Centro Acadêmico) </t>
  </si>
  <si>
    <t xml:space="preserve">Guichê / Centro Acadêmico </t>
  </si>
  <si>
    <t>Fechamento abertura Guichê Centro Acadêmico // Área = 2,00 x 1,00 = 2,00 m²</t>
  </si>
  <si>
    <t>Fechamento abertura Guiché Centro Acadêmico // Área = 2,00 x 1,00 = 2,00 m² x 2 faces = 4,0 m²</t>
  </si>
  <si>
    <t>Área Técnica</t>
  </si>
  <si>
    <t>Área Técnica // Área = (3,0 + 3,0 + 5,0 + 5,0) x 3 = 48 m² // Área de aberturas = 1,0 x 2,10 = 2,10 m² // Área liquida = 48 - 2,10 = 45,90 m²</t>
  </si>
  <si>
    <t>FAZENDA FONTES DO SABER, UNIVERSIDADE DE RIO VERDE - CAMPUS RIO VERDE</t>
  </si>
  <si>
    <t>P11 (0,80 m x 2,10 m) - Quantidade = 1</t>
  </si>
  <si>
    <t>Aplicação de tela no revestimento argamassado da Sala dos Professores / Coordenação 01 // Área de alvenaria de fechamento após remoção de porta P01 // Perímetro = 2,10 + 2,10 + 1,0 = 5,20 m // Espessura de aplicação da tela = 0,40 m // Área de aplicação de tela = 5,20 x 0,40 = 2,08 m² x 2 faces</t>
  </si>
  <si>
    <t>Aplicação de tela no revestimento argamassado após fechamento da Janela Sala de Aula 01 // Perímetro = 2,0 + 1,0 + 2,0 + 1,0 = 6,0 m // Espessura de aplicação da tela = 0,40 m // Área de aplicação = 0,40 x 6,0 = 2,40 m² x 2 faces</t>
  </si>
  <si>
    <t>Aplicação de tela no revestimento argamassado após fechamento da porta do Depósito (acesso lado externo) // Perímetro = 2,10 + 2,10 + 1,25 = 5,45 m // Largura de aplicação da tela = 0,40 m // Área = 5,45 x 0,40 = 2,18 m² x 2 faces</t>
  </si>
  <si>
    <t>Aplicação de tela no revestimento argamassado após fechamento de vão do guichê da área técnica / centro acadêmico // Perímetro = 2,0 + 1,0 + 2,0 + 1,0 = 6,0 m // Largura de aplicação da tela = 0,40 m // Área = 6,0 x 0,40 = 2,40 m² x 2 faces</t>
  </si>
  <si>
    <t>COTAÇÃO 39</t>
  </si>
  <si>
    <t>COTAÇÃO 40</t>
  </si>
  <si>
    <t>PANDANUS EDULIS - MUDAS COM APROXIMADAMENTE 3 METROS DE ALTURA</t>
  </si>
  <si>
    <t>CYCA REVOLUTA - MUDAS COM APROXIMADAMENTE 1,10 M DE DIÂMETRO</t>
  </si>
  <si>
    <t>COTAÇÃO 41</t>
  </si>
  <si>
    <t>AGAVE AZUL - AGAVE TEQUILANA - MUDAS COM DIÂMETRO APROXIMADO DE 0,90 M DE DIÂMETRO</t>
  </si>
  <si>
    <t>COTAÇÃO 42</t>
  </si>
  <si>
    <t xml:space="preserve">RAPHIS EXCELSA - MUDAS COM ALTURA APROXIMADA DE 2,0 M </t>
  </si>
  <si>
    <t>COTAÇÃO 43</t>
  </si>
  <si>
    <t>COTAÇÃO 44</t>
  </si>
  <si>
    <t>COTAÇÃO 45</t>
  </si>
  <si>
    <t xml:space="preserve">ABACAXI ROXO </t>
  </si>
  <si>
    <t xml:space="preserve">PALMEIRA PHOENIX - MUDAS COM ALTURA APROXIMADA DE 2,5 M </t>
  </si>
  <si>
    <t>VASO CÔNICO DE FIBRA DE VIDRO - DIMENSÕES APROXIMADAS 70 CM DE ALTURA E 40 CM DE BASE</t>
  </si>
  <si>
    <t>COTAÇÃO 46</t>
  </si>
  <si>
    <t>VASO PARA PAREDE TIPO PLASTPRIME - DIMENSÕES 50 CM DE COMPRIMENTO, 30 CM DE ALTURA, 19,7 CM DE PROFUNDIDADE</t>
  </si>
  <si>
    <t>COTAÇÃO 47</t>
  </si>
  <si>
    <t xml:space="preserve">COLOCASIA ESCULENTA - INHAME ROXO - MUDAS BEM FORMADAS, ENTOUCEIRADAS, COM ALTURA APROXIMADA DE 40 CM </t>
  </si>
  <si>
    <t>COTAÇÃO 48</t>
  </si>
  <si>
    <t xml:space="preserve">NEPHROLEPIS OBLITERATA 'KIMBERLY QUEEN'- SAMAMBAIA DE SOL - MUDAS BEM FORMADAS, VASO CHEIO, COM ALTURA APROXIMADA DE 40 CM </t>
  </si>
  <si>
    <t>COTAÇÃO 49</t>
  </si>
  <si>
    <t xml:space="preserve">PHILODENDRON PINNATIFIDUM - FILODENDRO DE FOLHA DE PENTE - MUDAS BEM FORMADAS COM ALTURA APROXIMADA DE 40 CM </t>
  </si>
  <si>
    <t>ASPARAGUS DENSIFLORUS - ASPARGO RABO DE GATO - MUDAS BEM FORMADAS DESENVOLVIDAS NO POTE 11</t>
  </si>
  <si>
    <t>COTAÇÃO 50</t>
  </si>
  <si>
    <t>COTAÇÃO 51</t>
  </si>
  <si>
    <t xml:space="preserve">TRADESCHANTIA ZEBRINA - LAMBARI ROXO - MUDAS BEM FORMADAS DESENVOLVIDAS NA CUIA 21 </t>
  </si>
  <si>
    <t>Canteiro Central - Região interna do prédio (demolição) // Área interna do terreno = 2,40 x 4,25 = 10,20 m²</t>
  </si>
  <si>
    <t>Entulhos gerados do processo de limpeza do canteiro central a ser demolido (região interna da edificação) // Área interna do terreno = 2,40 x 4,25 = 10,20 m² // Altura referente a solo + resíduos = 0,40 m // Volume de resíduos = 10,20 x 0,40 = 4,08 m³</t>
  </si>
  <si>
    <t xml:space="preserve">DEMOLIÇÃO DE ALVENARIA COM BLOCOS DE CONCRETO COM REVESTIMENTO </t>
  </si>
  <si>
    <t>M3</t>
  </si>
  <si>
    <t>Canteiro Central - Região interna da edificação // Extensão = 5,40 + 5,40 + 3,52 + 3,52 + (0,40 x 4) = 19,44 m ; Espessura = 0,18 m // Volume = 19,44 x 0,18 x 0,40 = 1,40 m³</t>
  </si>
  <si>
    <t>Demolição da laje do canteiro central - região interna da edificação // Volume = 7,83 x 0,10 = 0,783 m³</t>
  </si>
  <si>
    <t>Execução de lastro no hall de entrada após demolição de canteiro / assento para execução de piso em granitina // Área = 3,50 x 5,40 = 18,90 m²</t>
  </si>
  <si>
    <t xml:space="preserve">Circ. 01 (lado esquerdo) // Perímetro = 70,30 m; Altura do barrado = 1,10 m; Aberturas = (1,10 x 1,0 x 4) + (4,00 x 0,30 x 2) + (2,30 x 0,3 x 5) + (2,85 x 0,3 x 5) + (4,00 x 1,10 x 3) = 27,73 m² // Área líquida = (70,30 x 1,10) - 27,73 = 49,61 m² </t>
  </si>
  <si>
    <t>Circ. 01 (lado esquerdo) // Perímetro = 70,30 m; Pé direito descontando barrado = 3,00 - 1,10 = 1,90 m; Aberturas = (1,00 x 1,0 x 4) + (2,00 x 1,00 x 2) + (2,0 x 1,0) + (4,00 x 1,90 x 5) + (2,30 x 1,90 x 5) + (2,85 x 1,90 x 5) = 96,93 m² // Área líquida = (70,30 x 1,90) - 96,93 = 36,65 m²</t>
  </si>
  <si>
    <t xml:space="preserve">Circ. 01 (lado direito) // Perímetro = 10,00 + 0,55 + 5,30 + 3,15 + 4,70 + 50,15 = 73,85 m; Altura do barrado = 1,10 m; Aberturas = (1,00 x 1,0 x 10) + (2,00 x 1,00 x 16) = 42,00 m² // Área = (73,85 x 1,90) - 42,0 = 98,32 m² </t>
  </si>
  <si>
    <t xml:space="preserve">Circ. 01 (lado direito) // Perímetro = 10,00 + 0,55 + 5,30 + 3,15 + 4,70 + 50,15 = 73,85 m; Altura do barrado = 1,10 m; Aberturas = (1,00 x 1,10 x 10) = 11,00 m² // Área = (73,85 x 1,10) - 11,00 = 70,24 m² </t>
  </si>
  <si>
    <t>Pilares internos // Perímetro = (1,80 x 8 pilares) + (1,30 x 12 pilares) = 30,0 m; Altura descontado do barrado = 3,40 - 1,10 = 2,30 m; Área = 30,0 x 2,30 = 69,0 m²</t>
  </si>
  <si>
    <t>Pilares internos // Perímetro = (1,80 x 6 pilares) + (1,30 x 2 pilares) + (1,30 x 12) = 29,0 m; Altura = 1,10 m; Área = 29,0 x 1,10 = 31,90 m²</t>
  </si>
  <si>
    <t xml:space="preserve">Pintura pilares internos acima do barrado </t>
  </si>
  <si>
    <t>Manutenção da pintura das paredes internas (Área total = Perímetro x Pé direito - Aberturas) (Ambientes identificados de acordo com a PLANTA BAIXA - A CONSTRUIR)</t>
  </si>
  <si>
    <t>Pintura Platibanda Interna</t>
  </si>
  <si>
    <t>Platibanda Interna // Extensão = 45,0 + 45,0 + 5,0 = 95,0 m // Trecho horizontal =  0,50 m // Trecho Vertical = 1,45 m // Área de pintura = 95 x (0,50 + 1,45) = 185,25 m²</t>
  </si>
  <si>
    <t>Vigas internas // Extensão  = ((4,6 + 4,85 + 4,6 + 4,85 + 4,85 + 4,725 +4,725 + 4,85 + 4,6) x 2) + 4,30 = 89,60 m;  Largura = 0,15 m; Altura = 0,35; Perímetro = 0,15 + 0,35 + 0,35 = 0,85 m; Área = 0,85 x 89,60 = 76,16 m² (região do átrio - formato U)</t>
  </si>
  <si>
    <t xml:space="preserve">Vigas internas // Extensão = 2,35 x 2 = 4,70 m (elemento estrutural acima das portas na fachada posterior da edificação) // Perímetro = 0,15 + 0,35 = 0,50 m // Área = 4,70 x 0,50 = 2,35 m² </t>
  </si>
  <si>
    <t>Vigas internas // Extensão = 7,40 m (elemento estrutural acima da porta principal - fachada frontal) // Altura elementos aparentes = 3,0 - 2,50 = 0,50 m // Área = 0,50 x 7,40 = 3,70 m²</t>
  </si>
  <si>
    <t xml:space="preserve">Pintura do barrado com tinta esmalte </t>
  </si>
  <si>
    <t>Abrigo de Hidrante // Quantidade = 02 // Perímetro = 1,30 x 2 = 2,60 m (desconsiderou-se face referente a largura uma vez que já foi contabilizada no levantamento de quantitativo dos pilares) // Altura total = 1,65 m ; Altura do Barrado = 1,10 m ; Altura liquida = 1,65 - 1,10 = 0,55 m // Área de pintura = 1,10 x 2,60 m x 2 = 5,72 m²</t>
  </si>
  <si>
    <t>Pintura Abrigo de Hidrante // Quantidade = 02 // Perímetro = 1,30 x 2 = 2,60 m (desconsiderou-se face referente a largura uma vez que já foi contabilizada no levantamento de quantitativo dos pilares) // Altura total = 1,65 m ; Altura do Barrado = 1,10 m ; Altura liquida = 1,65 - 1,10 = 0,55 m // Área de pintura = (0,55 x 2,60 m x 2) + (0,25 x 1,30 x 2) = 3,51 m²</t>
  </si>
  <si>
    <t>Pintura do cobogó // Área = 4,30 x 3,20 x 2 faces = 27,52 m²</t>
  </si>
  <si>
    <t>Circulação // Trechos horizontais = 433,64 m² ; Trecho vertical = 3,0 m³ (existência de desnível no forro) // Área total = 433,64 + 3,0 = 436,64 m²</t>
  </si>
  <si>
    <t xml:space="preserve">Circ. 01 // Extensão = 70,15 + 0,30 + 2,35 + 45,15 + 5,30 + 45,15 + 2,35 + 54,85 + 3,15 + 5,30 + 0,55 + 10,0 + 7,40 = 252,0 m </t>
  </si>
  <si>
    <t xml:space="preserve">Fechamento de vão acima da porta P12 Subsecretaria // Altua até o forro = 3,0 m // Altura da porta a ser instalada = 2,10 m // Altura de fechamento = 0,90 m // Largura = 1,0 m // Área de vedação = 0,90 x 1,0 = 0,90 m² </t>
  </si>
  <si>
    <t>Fechamento de vão acima da porta P12 Subsecretaria // Altua até o forro = 3,0 m // Altura da porta a ser instalada = 2,10 m // Altura de fechamento = 0,90 m // Largura = 1,0 m // Área de vedação = 0,90 x 1,0 = 0,90 m² x 2 faces</t>
  </si>
  <si>
    <t>Fachada direita // Perímetro = 70,15 m; Altura = 3,35 m; Aberturas = (2,00 x 0,60) x 4 + ( 1,50 x 1,00) x 20  = 34,64 m²; Área = (70,15 x 3,35) - 34,64 = 200,36 m² // Ressalto dos pilares ; Largura = 0,15 ; Altura = 3,35 m ; Quantidade = 28 ; Área de pintura = 28 x 3,35 x 0,15 = 14,07 m² // Área de pintura = 14,07 + 200,36 = 214,27 m²</t>
  </si>
  <si>
    <t>Fachada Lateral direita // Platibanda Trecho Vertical - Extensão = 71,17 m ; Altura = 1,45 m // Área = 1,45 x 71,17 = 103,20 m²  // Platibanda Trecho Horizontal - Extensão = 71,17 m ; Largura = 0,50 m // Área = 71,17 x 0,50 = 35,59 m² // Área = 35,59 + 103,20 = 138,78 m²</t>
  </si>
  <si>
    <t xml:space="preserve">Fachada Posterior // Perímetro = 11,45 x 2 = 22,90 m; Altura = 3,35 m; Área Bruta = 22,90 x 3,35 = 76,72 m² ; Área de aberturas = 2,35 x 3,0 x 2 = 14,10 m² ; Área liquida = 76,72 - 14,10 = 62,62 m² </t>
  </si>
  <si>
    <t>Fachada esquerda // Perímetro = 70,15 m; Altura = 3,35 m; Aberturas = (2,00 x 1,00) x 4 + (1,50 x 1,00) x 24  = 44,00 m²; Área = (70,15 x 3,35) - (2 x 1 x 4) + (1,50 x 1,0 x 24) = 191 m² // Ressalto dos pilares ; Largura = 0,15 m ; Altura = 3,35 m ; Quantidade de ressaltos = 28 // Área = 0,15 x 3,35 x 28 = 14,07 m² // Área total = 191+ 14,07 = 205,07 m²</t>
  </si>
  <si>
    <t>Fachada Lateral esquerda // Platibanda Trecho Vertical - Extensão = 71,17 m ; Altura = 1,45 m // Área = 1,45 x 71,17 = 103,20 m²  // Platibanda Trecho Horizontal - Extensão = 71,17 m ; Largura = 0,50 m // Área = 71,17 x 0,50 = 35,59 m² // Área = 35,59 + 103,20 = 138,78 m²</t>
  </si>
  <si>
    <t>Fachada frontal // Perímetro = 27,20 m; Altura = 3,35 m; Aberturas = 7,40 x 2,50 = 18,50 m²; Área = (27,20 x 3,35) - 18,50  = 72,62 m²</t>
  </si>
  <si>
    <t>Pintura paredes externas(Ambientes identificados de acordo com a PLANTA BAIXA - A CONSTRUIR)</t>
  </si>
  <si>
    <t>COTAÇÃO 52</t>
  </si>
  <si>
    <t>DIVISOR DE GRAMA</t>
  </si>
  <si>
    <t>COTAÇÃO 53</t>
  </si>
  <si>
    <t>Remoção da cobertura da Fachada // Área = 21,33 m² (estrutura da cobertura existente - Fachada com avanço)</t>
  </si>
  <si>
    <t>Todos os materiais deverão ser previamente apresentados a CONTRATANTE, a fim de que a mesma verifique o interesse no reaproveitamento e recolhimento dos mesmos. Caso não seja de interesse da CONTRATANTE, os materiais deverão ser adequadamente descartados pela CONTRATADA.</t>
  </si>
  <si>
    <t>JANELA DE CORRER DE VIDRO C/FERRAGENS) - DIMENSÕES 2,0 M X 1,0 M (SOMENTE INSTALAÇÃO)</t>
  </si>
  <si>
    <t>SL AULA 06 // Janelas de correr 4 folhas de vidro (1,0 m x 1,50 m) // Quantidade = 04</t>
  </si>
  <si>
    <t>Sala de Aula 02 (numeração conforme projeto de levantamento) // Quantidade = 03 // Estas janelas serão instaladas na sala de Aula 06 (numeração projeto arquitetônico final)</t>
  </si>
  <si>
    <t xml:space="preserve">REMOÇÃO MANUAL DE PORTA 1,0 M X 2,10 M COM REAPROVEITAMENTO </t>
  </si>
  <si>
    <t xml:space="preserve">REMOÇÃO MANUAL DE JANELA 2,0 M X 1,0 M COM REAPROVEITAMENTO </t>
  </si>
  <si>
    <t>Remoção de torneiras para substituição</t>
  </si>
  <si>
    <t xml:space="preserve">Remoção de grelhas e porta grelhas para substituição </t>
  </si>
  <si>
    <t xml:space="preserve">Banheiro Masculino </t>
  </si>
  <si>
    <t>Banheiro Feminino // 02 Unidades</t>
  </si>
  <si>
    <t>Banheiro Masculino // 02  Unidades</t>
  </si>
  <si>
    <t>DML // 01 Unidades</t>
  </si>
  <si>
    <t xml:space="preserve">Remoção dos engates das caixas acopladas </t>
  </si>
  <si>
    <t xml:space="preserve">Banheiro Feminino </t>
  </si>
  <si>
    <t>Banheiro Masculino // 08 Unidades</t>
  </si>
  <si>
    <t>Banheiro Feminino // 12 Unidades</t>
  </si>
  <si>
    <t>Remoção das válvulas dos lavatórios para substituição</t>
  </si>
  <si>
    <t xml:space="preserve">Remoção da borracha de vedação das caixas acopladas para substituição </t>
  </si>
  <si>
    <t>Remoção das válvulas de descarga dos mictórios para substituição</t>
  </si>
  <si>
    <t xml:space="preserve">DML </t>
  </si>
  <si>
    <t xml:space="preserve">Remoção dos engates dos lavatórios </t>
  </si>
  <si>
    <t xml:space="preserve">Remoção de sifão dos lavatórios para substituição: </t>
  </si>
  <si>
    <t>Torneiras Externas</t>
  </si>
  <si>
    <t>Fachada Lateral Direita</t>
  </si>
  <si>
    <t>Fachada Lateral Esquerda</t>
  </si>
  <si>
    <t>Posterior</t>
  </si>
  <si>
    <t>Remoção dos mecanismos de acionamento da caixa acoplada</t>
  </si>
  <si>
    <t xml:space="preserve">Discriminação dos ambientes em conformidade com o projeto arquitetônico Planta Baixa a Construir: </t>
  </si>
  <si>
    <t>Sala de Aula 06 (porta reaproveitada - necessária a substituição de fechadura)</t>
  </si>
  <si>
    <t>Banheiro Feminino</t>
  </si>
  <si>
    <t>Estas portas serão removidas para serem reposicionadas / instaladas nos seguintes ambientes: Sala de aula 06, sala dos profesores, subsecretaria, subsecretaria &gt; coordenação 02, sala dos professores &gt; coordenação 01 (ambientes denominados em conformidade com o projeto PLANTA BAIXA A CONSTRUIR)</t>
  </si>
  <si>
    <t>Coordenação 01 &gt; Subsecretaria</t>
  </si>
  <si>
    <t xml:space="preserve">Subsecretaria </t>
  </si>
  <si>
    <t>Subsecretaria &gt; Coordenação 02</t>
  </si>
  <si>
    <t>REMOÇÃO DE FECHADURA (PARA SUBSTITUIÇÃO)</t>
  </si>
  <si>
    <t>Remoção do reboco deteriorado do abrigo de hidrante da fachada (hidrante de recalque) // Área = 1,0 x 0,40 = 0,40 m² (região inferior)</t>
  </si>
  <si>
    <t>Execução de reboco deteriorado do abrigo de hidrante da fachada (hidrante de recalque) // Área = 1,0 x 0,40 = 0,40 m² (região inferior)</t>
  </si>
  <si>
    <t>Banheiro Masculino</t>
  </si>
  <si>
    <t>Vasos sanitários com caixa acoplada - Engates flexíveis</t>
  </si>
  <si>
    <t>KIT ACIONAMENTO - VASO SANITÁRIO COM CAIXA ACOPLADA</t>
  </si>
  <si>
    <t>Banheiro Feminino // Substituição de porta papel higiênico // 12 cabines // Remoção de porta papel higiênico de 11 cabines (01 cabine já se encontra com ausência de acessório)</t>
  </si>
  <si>
    <t>Jardim Interna // Limpeza e remoção da casca de pinus // Jardim 01 = 42,0 m² ; Jardim 02 = 54,0 m² ; Jardim 03 = 23,70 m² // Total = 119,70 m²</t>
  </si>
  <si>
    <t>Entulhos gerados do processo de limpeza do jardim interno a ser demolido (região interna da edificação) // Área interna do terreno = 119,70 m² // Altura referente a resíduos = 0,15 m // Volume de resíduos = 119,70 x 0,15 = 17,96 m³</t>
  </si>
  <si>
    <t>Sala de aula 02 - Lousa em fórmica branca com requadro em madeira e porta giz inferior - 6,80 m X 1,20 m \\ Área = 6,80 x 1,20 = 8,16 m²</t>
  </si>
  <si>
    <t>Sala de aula 03 - Lousa em fórmica branca com requadro em madeira e porta giz inferior - 6,80 m X 1,20 m \\ Área = 6,80 x 1,20 = 8,16 m²</t>
  </si>
  <si>
    <t>Sala de aula 04 - Lousa em fórmica branca com requadro em madeira e porta giz inferior - 6,80 m X 1,20 m \\ Área = 6,80 x 1,20 = 8,16 m²</t>
  </si>
  <si>
    <t>Sala de aula 05 - Lousa em fórmica branca com requadro em madeira e porta giz inferior - 6,80 m X 1,20 m \\ Área = 6,80 x 1,20 = 8,16 m²</t>
  </si>
  <si>
    <t>Sala de aula 06 - Lousa em fórmica branca com requadro em madeira e porta giz inferior - 6,80 m X 1,20 m \\ Área = 6,80 x 1,20 = 8,16 m²</t>
  </si>
  <si>
    <t>Sala de aula 01 - Lousa em fórmica branca com requadro em madeira e porta giz inferior - 6,80 m X 1,20 m \\ Área = 6,80 x 1,20 = 8,16 m²</t>
  </si>
  <si>
    <t>Sala dos professores - Lousa em fórmica branca com requadro em madeira e porta giz inferior - 6,80 m X 1,20 m \\ Área = 6,80 x 1,20 = 8,16 m²</t>
  </si>
  <si>
    <t>REMOÇÃO DE SUPORTE DATASHOW</t>
  </si>
  <si>
    <t xml:space="preserve">Sala de Aula 06 </t>
  </si>
  <si>
    <t xml:space="preserve">Entrada da Edificação </t>
  </si>
  <si>
    <t>Centro de Inovação, Pesquisa e Pós-Graduação // Tempo de obra de acordo com cronograma = 4 meses</t>
  </si>
  <si>
    <t>Coworking (À construir) // Extensão = 3,63 + 10,05 + 4,98 + 4,47 + 3,07 + 2,03 + 4,60 = 32,83 m; Largura = 0,15 m; Profundidade = 0,20 m;  Volume = 32,83 x 0,15  x 0,15 = 0,98 m³</t>
  </si>
  <si>
    <t>1 torre x 3,50 m x 1 mês</t>
  </si>
  <si>
    <t>Entrada da edificação</t>
  </si>
  <si>
    <t>PAPELEIRA PLÁSTICA TIPO DISPENSER PARA PAPEL HIGIÊNICO ROLÃO</t>
  </si>
  <si>
    <t>FECHO TRANQUETA PARA PORTA DE ALUMÍNIO</t>
  </si>
  <si>
    <t xml:space="preserve">1 Mestre de obras x 8 horas/dia x 22 dias/mês x 4 meses </t>
  </si>
  <si>
    <t>Hall de circulação // Parede externa do Centro Acadêmico // Correção de defeito na parede - furos decorrentes de instalação anterior de equipamento de registro de ponto // Área = 0,15 x 0,30 = 0,05 m²</t>
  </si>
  <si>
    <t>Correção de pintura / revestimento deteriorado abaixo dos aparelhos de ar condicionado // Quantidade = 16 // Área = 1,0 m x 0,15 m x 16 m = 2,40 m² (tratam-se de trechos que apresentam-se deteriorados possivelmente em função da realização do serviço de instalação do aparelho de ar condicionado)</t>
  </si>
  <si>
    <t>Placa de identificação - Casa de Máquinas</t>
  </si>
  <si>
    <t>PLACA DE SINALIZACAO DE SEGURANCA CONTRA INCENDIO, FOTOLUMINESCENTE, RETANGULAR, *13 X 26* CM, EM PVC *2* MM ANTI-CHAMAS (SIMBOLOS, CORES E PICTOGRAMAS CONFORME NBR 16820)</t>
  </si>
  <si>
    <t>Rota de Fuga Direita S1 // Quantidade = 6</t>
  </si>
  <si>
    <t>Rota de Fuga Esquerda S1 // Quantidade = 6</t>
  </si>
  <si>
    <t>PLACA DE SINALIZACAO DE SEGURANCA CONTRA INCENDIO, FOTOLUMINESCENTE, QUADRADA, *14 X 14* CM, EM PVC *2* MM ANTI-CHAMAS (SIMBOLOS, CORES E PICTOGRAMAS CONFORME NBR 16820)</t>
  </si>
  <si>
    <t xml:space="preserve">Hidrante de recalque // Quantidade = 1 </t>
  </si>
  <si>
    <t>Placa Hidrante // Quantidade = 3</t>
  </si>
  <si>
    <t>Placa Alarme Sonoro // Quantidade = 1</t>
  </si>
  <si>
    <t>Placa Saída de Emergência // Quantidade = 3</t>
  </si>
  <si>
    <t>Placa Central de Alarme // Quantidade = 1</t>
  </si>
  <si>
    <t>Placa de Extintor // Quantidade = 6</t>
  </si>
  <si>
    <t>PLACA DE SINALIZACAO DE SEGURANCA CONTRA INCENDIO, FOTOLUMINESCENTE, RETANGULAR, *45 X 45* CM, ANTI-CHAMAS, MODELO M1</t>
  </si>
  <si>
    <t>Placa Medidas de Segurança - Modelo M1</t>
  </si>
  <si>
    <t>Sala de Aula 06 // Emassamento interno // Ambiente com revestimento deteriorado em função da presença de manifestações patológicas // Perímetro = 9,85 + 9,85 + 8,0 + 8,0 = 35,70 m ; Pé-direito = 3,0 m // Área = 3,0 x 35,70 = 107,10 m² // Área de aberturas = (1 x 2,10) + (1,0 x 1,50 x 4) + (2,0 x 1,0 x 3) = 14,10 m² // Área liquida = 107,10 - 14,10 = 93,0 m²</t>
  </si>
  <si>
    <t>Sala de Aula 06 // Emassamento alvenaria (lado corredor) // Área = 10,85 x 3,0 = 32,55 m² // Área de esquadrias = 2,0 x 1,0 x 3 =  6,0 m² // Área liquida = 32,55 - 6,0 = 26,55 m²</t>
  </si>
  <si>
    <t xml:space="preserve">1 Engenheiro Civil x 2,0 horas/dia x 22 dias/mês x 4 meses </t>
  </si>
  <si>
    <t>Abrigo de Hidrantes Interno // Tampa  // Quantidade = 03 // Área = (0,90 x 0,60) x 3 = 1,62 m²</t>
  </si>
  <si>
    <t>Abrigo de Hidrantes Externo // Tampa  // Quantidade = 01 // Área = (0,90 x 0,60) x 1 = 0,54 m²</t>
  </si>
  <si>
    <t>Tampas das caixas de passagem pluviais do Canteiro Central (região interna da edificação - jardim descoberto) // Quantidade conforme projeto hidrossanitário (pluvial) = 5 // Dimensões 1,0 m x 1,0 m // Área de pintura = 5 x 1,0 x 1,0 = 5,0 m²</t>
  </si>
  <si>
    <t>Tampas das caixas de passagem pluviais do Canteiro Central (região interna da edificação - jardim descoberto) // Quantidade conforme projeto hidrossanitário (pluvial) = 4 // Dimensões 0,80 m x 0,80 m // Área de pintura = 4 x 0,80 x 0,80 = 2,56 m²</t>
  </si>
  <si>
    <t>Bases das luminárias do Canteiro Central (região interna da edificação - jardim descoberto) // Quantidade = 5 // Dimensões 36 cm x 36 cn x 8 cm // Área de pintura = área topo + área lateral = ((0,36 x 0,36) + ((0,36 x 4) x 0,08)) x 5 bases = 1,22 m²</t>
  </si>
  <si>
    <t>Base do totem // Dimensões 90 cm x 55 cm x 30 cm // Área de pintura = área topo + área lateral = (0,90 x 0,55) + ((0,90 + 0,55 + 0,90 + 0,55) x 0,30) = 1,37 m²</t>
  </si>
  <si>
    <t>Caixa de passagem de luz (localizada próximo ao poste de iluminação - região frontal da edificação) // Área de pintura = área topo + área lateral = (0,60 x 0,60) + ((0,60 x 4) x 0,15) = 0,72 m²</t>
  </si>
  <si>
    <t>Tubulação de Incêndio Aparente - Saída do reservatório - Trecho vertical // Extensão = 6 m ; Diâmetro = 65 mm ; // Área superficial (pintura) = 2 x 3,14 x (0,065 / 2) x 6 = 1,22 m²</t>
  </si>
  <si>
    <t>FACHADA EM ACM AZUL INCLUINDO ESTRUTURA DE FIXAÇÃO (FORNECIMENTO E INSTALAÇÃO)</t>
  </si>
  <si>
    <t>PANDANUS EDULIS - MUDAS COM APROXIMADAMENTE 3 M DE ALTURA</t>
  </si>
  <si>
    <t>Projeto de Paisagismo - Lista de Materiais Fornecida pela CONTRATADA</t>
  </si>
  <si>
    <t xml:space="preserve">PLANTIO DE FORRAÇÃO - GRAMA AMENDOIM </t>
  </si>
  <si>
    <t>PLANTIO DE GRAMA SÃO CARLOS</t>
  </si>
  <si>
    <t xml:space="preserve">DIVISOR DE GRAMA </t>
  </si>
  <si>
    <t xml:space="preserve">Placa de Inauguração - Centro de Inovação // Quantidade = 01 </t>
  </si>
  <si>
    <t>Segundo os critérios de orçamento da GOINFRA, A quantidade de refeições relativa à café da manhã deve ser calculada baseada no total de horas trabalhadas somadas dos profissionais, com exceção do engenheiro (de acordo com as composições dos serviços), dividido por 8,8 (oito vírgula oito horas/dia) e multiplicado por 0,85. Não considerar os profissionais terceirizados, a não ser que na proposta de preços seja exigido o fornecimento do café da manhã para os estes funcionários.</t>
  </si>
  <si>
    <t>Quantidade de funcionários = 8 // Quantidade de refeições = 8 funcionários x 8 horas / dia x 22 dias / mês x 4 meses x 0,85 / 8,80 = 544 refeições</t>
  </si>
  <si>
    <t>Pandanus Edulis</t>
  </si>
  <si>
    <t>PLANTIO DE ARBUSTO COM ALTURA DE MUDA MENOR OU IGUAL A 3,0 METROS INCLUSO ABERTURA DE COVA 60 CM X 60 CM X 60 CM; ADUBAÇÃO E PLANTIO; EXCLUSO MUDAS</t>
  </si>
  <si>
    <t>PLANTIO DE MUDAS DE PLANTAS COM ALTURA MENOR OU IGUAL A 1,50 M INCLUSO ABERTURA DE COVA, PREPARAÇÃO DO SOLO E PLANTIO; EXCLUSO MUDA</t>
  </si>
  <si>
    <t>Cyca Revoluta</t>
  </si>
  <si>
    <t xml:space="preserve">Agave Azul </t>
  </si>
  <si>
    <t>PLANTIO DE ÁRVORE ORNAMENTAL COM ALTURA DE MUDA MAIOR QUE 2,0 M E MENOR OU IGUAL A 4,0 M INCLUSO ABERTURA DE COVA 60 CM X 60 CM X 60 CM , ADUBAÇÃO E PLANTIO; EXCLUSO MUDA</t>
  </si>
  <si>
    <t xml:space="preserve">Raphis Excelsa </t>
  </si>
  <si>
    <t>Palmeira Phoenix</t>
  </si>
  <si>
    <t>PREPARAÇÃO COM ADUBAÇÃO DO TERRENO EM FORMA DE CANTEIRO E PLANTIO DE FORRAÇÃO AMBOS COM PROFUNDIDADE DE 30 CM - EXCLUSO O FORNECIMENTO DA MUDA</t>
  </si>
  <si>
    <t>Abacaxi Roxo // Área de forração = 4,719 + 3,484 = 8,20 m²</t>
  </si>
  <si>
    <t>INSTALAÇÃO DE VASOS EM PAREDE PARA IMPLANTAÇÃO DE PAREDE VERDE</t>
  </si>
  <si>
    <t>Projeto de Paisagismo // Quantidade = 48 unidades</t>
  </si>
  <si>
    <t>PLANTIO DE MUDAS EM VASOS PARA IMPLANTAÇÃO DE PAREDE VERDE; INCLUSO PLANTIO E ADUBAÇÃO; EXCLUSO O FORNECIMENTO DE MUDA</t>
  </si>
  <si>
    <t xml:space="preserve">Inhame Roxo </t>
  </si>
  <si>
    <t>Samabaia Sol</t>
  </si>
  <si>
    <t xml:space="preserve">Filodendro de folha de pente </t>
  </si>
  <si>
    <t xml:space="preserve">Aspargo rabo de gato </t>
  </si>
  <si>
    <t xml:space="preserve">Lambari roxo </t>
  </si>
  <si>
    <t>Centro de Inovação, Pesquisa e Pós-graduação // Área = ((2,45 + 1,55 + 0,90 + 11,55 + 3,55 + 2,45 + 7,35 + 2,45) x 1,30) + (0,55 x 2,45) + (2,10 x 2,45) + (0,90 x 11,55) = 58,81 m²</t>
  </si>
  <si>
    <t xml:space="preserve">Rufo - Encontro do pórtico em ACM e fachada // Extensão = 11,60 m </t>
  </si>
  <si>
    <t>SINAPI 102489</t>
  </si>
  <si>
    <t>PINTURA HIDROFUGANTE COM SILICONE, APLICAÇÃO MANUAL, 2 DEMÃOS. AF_05/2021</t>
  </si>
  <si>
    <t>Fachada Lateral Frontal - Lado Direito // Região que receberá parede verde // Área = 25,45 m² (considerado área entre lateral da porta de acesso principal e última linha de vegetação do lado direito)</t>
  </si>
  <si>
    <t>Reservatório Maior // Pintura superficie // Área = (2 x 3,14 x 0,5 x 6) + (2 x 3,14 x 1,325 x 2,45) + (3,14 x (1,325 + 0,50) x 1,15) + (3,14 x 1,325 x (1,325 + 1,36)) = 56,99 m²</t>
  </si>
  <si>
    <t>Reservatório Menor // Pintura superficie //  Área = (2 x 3,14 x 0,5 x 6) + (2 x 3,14 x 1,125 x 2,0) + (3,14 x (1,125 + 0,50) x 0,902) + (3,14 x 1,125 x (1,125 + 1,14)) = 45,57 m²</t>
  </si>
  <si>
    <t>Calçada lateral da casa de máquinas // Área = (4 x 4) - (3 x 3) = 7,0 m²</t>
  </si>
  <si>
    <t>Revestimento de piso interno da casa de máquinas // Área = 7,29 m²</t>
  </si>
  <si>
    <t>Casa de Máquinas</t>
  </si>
  <si>
    <t>Paredes Externas // Área = (perímetro x altura) - aberturas = ((3 x 4) x 2,60) - (2,50 x 2,10) = 25,95 m²</t>
  </si>
  <si>
    <t>Paredes Internas // Área = (perímetro x altura) - aberturas = ((3 x 4) x 2,60) - (2,50 x 2,10) = 25,95 m²</t>
  </si>
  <si>
    <t>Laje de cobertura // Face Externa + Face Interna + Faces Laterais = (3,40 x 3,40) + (3,40 x 3,40) + ((3,40 x 4) x 0,10) = 24,48 m²</t>
  </si>
  <si>
    <t>Laje de cobertura da Casa de Máquinas // Face Externa = 3,40 x 3,40 = 11,56 m²</t>
  </si>
  <si>
    <t>Platibanda // Faces voltadas para a cobertura e trechos horizontais // Extensão = 70,85 + 11,46 + 45 + 4,32 + 45 + 11,46 + 70,85 + 27,28 = 286,22 m // Altura interna = 0,90 m // Espessura da parede = 0,15 m // Área =  286,22 x (0,15 + 0,90) = 300,53 m²</t>
  </si>
  <si>
    <t>Corte no piso para correção de rachaduras - Calçadas Externas</t>
  </si>
  <si>
    <t xml:space="preserve"> 	Sala 3 // Requadro alvenaria para instalação das novas esquadrias // Perímetro = (3,0 + 4,0 + 3,0) + (2,30 + 2,25 + 2,30 + 2,25) + (2,85 + 2,85 + 2,25 + 2,25) = 29,30 m // Área = 29,30 x 0,15 = 4,40 m²</t>
  </si>
  <si>
    <t>Sala 05 / Sala 06 // Requadro dos pilares após demolição da alvenaria // Área = (0,15 + 0,15 + 0,15 + 0,15) x 3,0 = 1,80 m²</t>
  </si>
  <si>
    <t>Alvenaria para fechamento de buraco de exaustor no Depósito // Sala de determinações. Área = pi x 0,50 / 4 = 0,20 x 2 = 0,39 m²</t>
  </si>
  <si>
    <t>Alvenaria para fechamento de buraco de exaustor no Depósito // Sala de determinações. Área = pi x 0,50² / 4 = 0,20 m² (somente face interna)</t>
  </si>
  <si>
    <t>Fechamento de vão acima da porta P12 Subsecretaria // Altura até o forro = 3,0 m // Altura da porta a ser instalada = 2,10 m // Altura de fechamento = 0,90 m // Largura = 1,0 m // Área de vedação = 0,90 x 1,0 = 0,90 m² x 2 faces</t>
  </si>
  <si>
    <t xml:space="preserve">Execução de Nova Cobertura </t>
  </si>
  <si>
    <t>Demolição da alvenaria para instalação dos chumbadores / pilaretes // Quantidade = 32 // Dimensões do corte : comprimento = 20 cm ; profundidade = 23 cm ; largura = 8 cm // Volume = 0,20 x 0,23 x 0,08 x 32 = 0,12 m³</t>
  </si>
  <si>
    <t>Nova Cobertura</t>
  </si>
  <si>
    <t xml:space="preserve">Reforço da Cobertura Existente </t>
  </si>
  <si>
    <t>Pilaretes / Terças e Vigas</t>
  </si>
  <si>
    <t>Chapa de Base</t>
  </si>
  <si>
    <t xml:space="preserve">Cobertura nova </t>
  </si>
  <si>
    <t>Reparo na face do pilar // Fachada Posterior (lado interno) // Pilar próximo a parede de cobogó // Área = 0,50 x 0,40 = 0,20 m²</t>
  </si>
  <si>
    <t>SINAPI 89995</t>
  </si>
  <si>
    <t>GRAUTEAMENTO DE CINTA SUPERIOR OU DE VERGA EM ALVENARIA ESTRUTURAL. AF_09/2021</t>
  </si>
  <si>
    <t>Fachada Posterior (somente lampada) - Arandela</t>
  </si>
  <si>
    <t>Fachada Lateral Esquerda (somente lampada) - Arandela</t>
  </si>
  <si>
    <t>Fachada Lateral Direita  (somente lampada) - Arandela</t>
  </si>
  <si>
    <t>Fachada Fundo (somente lampada) - Arandela</t>
  </si>
  <si>
    <t>SINAPI 97610</t>
  </si>
  <si>
    <t>LÂMPADA COMPACTA DE LED 10 W, BASE E27 - FORNECIMENTO E INSTALAÇÃO. AF_02/2020</t>
  </si>
  <si>
    <t xml:space="preserve">Fachada Posterior - Substituição da lâmpada de arandela </t>
  </si>
  <si>
    <t xml:space="preserve">Fachada Frontal - Substituição da lâmpada de arandela </t>
  </si>
  <si>
    <t xml:space="preserve">Fachada Lateral Direita - Substituição da lâmpada de arandela </t>
  </si>
  <si>
    <t xml:space="preserve">Fachada Lateral Esquerda - Substituição da lâmpada de arandela </t>
  </si>
  <si>
    <t>REGULARIZAÇÃO COM ARGAMASSA AUTONIVELANTE</t>
  </si>
  <si>
    <t>Calçada da fachada frontal // Extensão total da demolição = 6,60 + 6,60 + 2,00 + 3,25 + 2,80 = 21,25 m; Volume de demolição = 21,25 x 0,10 x 0,07 = 0,15 m³</t>
  </si>
  <si>
    <t>Passeio da entrada // Área de demolição = 9,00 x 2,40 = 21,60 m²; Volume de demolição = 21,60 x 0,07 = 1,51 m³</t>
  </si>
  <si>
    <t>Passeios da entrada e fachada frontal // Extensão total da demolição = 1,20 + 2,40 + 1,20 + 2,40 + 2,40 + 2,40 + 2,40 + 2,40 + 1,20 + 1,20 + 2,40 + 1,20 + 2,40 + 2,40 + 2,40 + 2,40 + 2,40 + 1,50 + 2,40 + 2,40 + 2,90 + 0,90 + 2,40 + 2,40 = 49,70 m; Volume de demolição = 0,35 m³</t>
  </si>
  <si>
    <t>Calçadas da fachada lateral esquerda // Extensão total de demolição = 2,40 + 2,40 + 2,40 + 2,40 + 2,40 + 3,00 + 2,40 + 2,40 + 2,40 + 2,50 + 2,50 + 2,40 + 0,80 + 2,40 + 0,80 + 2,40 + 2,40 = 38,40 m; Volume de demolição = 38,40 x 0,10 x 0,07 = 0,27 m²</t>
  </si>
  <si>
    <t>Calçadas da fachada lateral esquerda // Área de demolição = (1,30 x 2,40) + (2,40 x 2,15) = 8,28 m²; Volume de demolição = 8,28 x 0,07 = 0,58 m²</t>
  </si>
  <si>
    <t>Calçadas da fachada posterior // Extensão total de demolição = 2,40 + 1,40  + 2,40 + 2,40 + 2,40 + 2,40 + 2,40 = 15,80 m; Volume de demolição = 15,80 x 0,10 x 0,07 = 0,11 m²</t>
  </si>
  <si>
    <t>Calçadas da fachada posterior // Área de demolição = (0,50 x 0,40) = 8,28 m²; Volume de demolição = 0,20 x 0,07 = 0,01 m²</t>
  </si>
  <si>
    <t>Calçadas da fachada posterior // Extensão total de demolição = 2,40 + 1,20 + 2,40 + 1,80 + 3,00 + 2,40 + 2,40 + 2,40 + 2,40 + 2,40 = 22,80 m; Volume de demolição = 22,80 x 0,10 x 0,07 = 0,16 m²</t>
  </si>
  <si>
    <t>Sala 06 // Troca de tubo para reparo de vazamento do dreno de ar condicinado (Tubos de 25 mm) // Comprimento estimado = 1,00 m</t>
  </si>
  <si>
    <t>Sala de aula 01 - Remoção instalações elétricas aparentes (canaletas de pvc) // Extensão = 8,72 m</t>
  </si>
  <si>
    <t>Sala de aula 04 - Remoção instalações elétricas aparentes (canaletas de pvc)  // Extensão = 3,92 m</t>
  </si>
  <si>
    <t>Sala de aula 03 - Remoção instalações elétricas aparentes (canaletas de pvc) // Extensão = 3,92 m</t>
  </si>
  <si>
    <t>Sala de aula 02 - Remoção instalações elétricas aparentes (canaletas de pvc) // Extensão = 3,92 m</t>
  </si>
  <si>
    <t>Sala de aula 05 - Remoção instalações elétricas aparentes (canaletas de pvc) // Extensão = 3,92 m</t>
  </si>
  <si>
    <t>Sala de aula 06 - Remoção instalações elétricas aparentes (canaletas de pvc) // Extensão = 3,92 m</t>
  </si>
  <si>
    <t>Sala de aula 11 - Remoção instalações elétricas aparentes (canaletas de pvc) // Extensão = 3,92 m</t>
  </si>
  <si>
    <t>Sala de aula 10 - Remoção instalações elétricas aparentes (canaletas de pvc)  // Extensão = 3,92 m</t>
  </si>
  <si>
    <t>Sala de aula 09 - Remoção instalações elétricas aparentes (canaletas de pvc) // Extensão = 3,92 m</t>
  </si>
  <si>
    <t>Sala de aula 08 - Remoção instalações elétricas aparentes (canaletas de pvc) // Extensão = 15,12 m</t>
  </si>
  <si>
    <t>Sala de aula 07 - Remoção eletroduotos aparentes (canaletas de pvc) // Extensão = 8,70 m</t>
  </si>
  <si>
    <t>Remoção das terças que serão reposicionadas em novos trechos da treliça // Comprimento de terça = 75,76 m x 8 = 606,08 m (04 terças por treliça); Massa linear = 2,70 kg/m; Total em kg = 606,08 x 2,70 = 1636,42 kg</t>
  </si>
  <si>
    <t>COMP. 47</t>
  </si>
  <si>
    <t>COMP. 48</t>
  </si>
  <si>
    <t>COMP. 49</t>
  </si>
  <si>
    <t>COMP. 50</t>
  </si>
  <si>
    <t>COMP. 51</t>
  </si>
  <si>
    <t>COMP. 52</t>
  </si>
  <si>
    <t>COMP. 53</t>
  </si>
  <si>
    <t>COMP. 54</t>
  </si>
  <si>
    <t>Resíduos gerados pelo processo de demolição de concreto simples (calçada, armários, piso) // Volume de demolição = 4,37 m³ // Coeficiente de aumento volumétrico considerado = 50% // Volume estimado com aumento volumétrico = 1,50 x 4,37 = 6,56 m³</t>
  </si>
  <si>
    <t>COMP. 55</t>
  </si>
  <si>
    <t>COMP. 56</t>
  </si>
  <si>
    <t>Sala 06 // Troca de tubo para reparo de vazamento do dreno de ar condicinado (Tubos de 25 mm) // Quantidade = 2,00 unidades</t>
  </si>
  <si>
    <t>BIANATO IRRIGACAO E MANEJO DE DEJETOS LTDA</t>
  </si>
  <si>
    <t>04.703.086/0001-70</t>
  </si>
  <si>
    <t>(64) 3622-1557</t>
  </si>
  <si>
    <t>38.482.587/0001-95</t>
  </si>
  <si>
    <t>(11) 94499-8027</t>
  </si>
  <si>
    <t>0246-1</t>
  </si>
  <si>
    <t>GLOBAL DISTRIBUICAO DE BENS DE CONSUMO LTDA. (TAQI EMPRESAS)</t>
  </si>
  <si>
    <t>4020 2299</t>
  </si>
  <si>
    <t>89.237.911/0001-40</t>
  </si>
  <si>
    <t>COMP. 57</t>
  </si>
  <si>
    <t>COMP. 58</t>
  </si>
  <si>
    <t>AGROMETAL COMERCIAL DE FERRAGENS LTDA</t>
  </si>
  <si>
    <t>48.539.548/0001-30</t>
  </si>
  <si>
    <t>(17) 2139-5025</t>
  </si>
  <si>
    <t>bad2jcea0e</t>
  </si>
  <si>
    <t>COMP. 59</t>
  </si>
  <si>
    <t>0089-2</t>
  </si>
  <si>
    <t>01.040.887/0001-04</t>
  </si>
  <si>
    <t>FERPAM COM DE FERRAMEMTAS PARAFUSOS E MAQUINAS LTDA</t>
  </si>
  <si>
    <t>(63) 2111-3600</t>
  </si>
  <si>
    <t>ORSE</t>
  </si>
  <si>
    <t>-</t>
  </si>
  <si>
    <t>FC-2024</t>
  </si>
  <si>
    <t>23.784.786/0001-80</t>
  </si>
  <si>
    <t>XAVIER &amp; COIMBRA - COMERCIO DE PRODUTOS HIDRAULICOS E BRINQUEDOS LTDA (GUILORE)</t>
  </si>
  <si>
    <t>CASA DA IRRIGACAO LTDA</t>
  </si>
  <si>
    <t>06.128.260/0001-23</t>
  </si>
  <si>
    <t>(44) 9122-6542</t>
  </si>
  <si>
    <t>COMP. 60</t>
  </si>
  <si>
    <t>COMP. 61</t>
  </si>
  <si>
    <t>0000001</t>
  </si>
  <si>
    <t>SAFRA AGRICOLA E PECUARIA LTDA</t>
  </si>
  <si>
    <t>06.315.490/0001-00</t>
  </si>
  <si>
    <t>(62) 3928-4020</t>
  </si>
  <si>
    <t>IMDCG2000A020</t>
  </si>
  <si>
    <t>COMP. 62</t>
  </si>
  <si>
    <t>COMP. 63</t>
  </si>
  <si>
    <t>17.326.065/0001-24</t>
  </si>
  <si>
    <t xml:space="preserve"> (11) 4673-2776</t>
  </si>
  <si>
    <t>Sala 06 // Troca de tubo para reparo de vazamento do dreno de ar condicinado (Tubos de 25 mm) // Comprimento do rasgo = 3,00 m</t>
  </si>
  <si>
    <t>Reforma no piso para correção de rachaduras - Calçadas Externas</t>
  </si>
  <si>
    <t>Passeio da entrada // Área de demolição = 9,00 x 2,40 = 21,60 m²</t>
  </si>
  <si>
    <t>Calçadas da fachada lateral esquerda // Extensão total de demolição = 2,40 + 2,40 + 2,40 + 2,40 + 2,40 + 3,00 + 2,40 + 2,40 + 2,40 + 2,50 + 2,50 + 2,40 + 0,80 + 2,40 + 0,80 + 2,40 + 2,40 = 38,40 m; Área de demolição = 38,40 x 0,10 = 3,84 m²</t>
  </si>
  <si>
    <t>Calçada da fachada frontal // Extensão total da demolição = 6,60 + 6,60 + 2,00 + 3,25 + 2,80 = 21,25 m; Área de demolição = 21,25 x 0,10 = 2,13 m²</t>
  </si>
  <si>
    <t>Passeios da entrada e fachada frontal // Extensão total da demolição = 1,20 + 2,40 + 1,20 + 2,40 + 2,40 + 2,40 + 2,40 + 2,40 + 1,20 + 1,20 + 2,40 + 1,20 + 2,40 + 2,40 + 2,40 + 2,40 + 2,40 + 1,50 + 2,40 + 2,40 + 2,90 + 0,90 + 2,40 + 2,40 = 49,70 m; Área de demolição = 49,70 x 0,10 = 4,97 m²</t>
  </si>
  <si>
    <t>Calçadas da fachada lateral esquerda // Área de demolição = (1,30 x 2,40) + (2,40 x 2,15) = 8,28 m²</t>
  </si>
  <si>
    <t>Calçadas da fachada posterior // Extensão total de demolição = 2,40 + 1,40  + 2,40 + 2,40 + 2,40 + 2,40 + 2,40 = 15,80 m; Área de demolição = 15,80 x 0,10 = 1,58 m²</t>
  </si>
  <si>
    <t>Calçadas da fachada posterior // Área de demolição = (0,50 x 0,40) = 0,20 m²</t>
  </si>
  <si>
    <t>Calçadas da fachada posterior // Extensão total de demolição = 2,40 + 1,20 + 2,40 + 1,80 + 3,00 + 2,40 + 2,40 + 2,40 + 2,40 + 2,40 = 22,80 m; Área de demolição = 22,80 x 0,10 = 2,28 m²</t>
  </si>
  <si>
    <t>COTAÇÃO 54</t>
  </si>
  <si>
    <t>ARGAMASSA INDUSTRIAIZADA AUTONIVELANTE (RENDIMENTO 1,7 KG/M2/MM)</t>
  </si>
  <si>
    <t>COTAÇÃO 55</t>
  </si>
  <si>
    <t>KIT ACIONAMENTO PARA CAIXA ACOPLADA</t>
  </si>
  <si>
    <t xml:space="preserve"> 00.776.574/0006-60</t>
  </si>
  <si>
    <t>AMAZON SERVICOS DE VAREJO DO BRASIL LTDA.</t>
  </si>
  <si>
    <t>15.436.940/0001-03</t>
  </si>
  <si>
    <t>ajuda-amazon@amazon.com.br</t>
  </si>
  <si>
    <t>bffkbk1f19</t>
  </si>
  <si>
    <t>CONSTRULAR COMERCIAL LTDA</t>
  </si>
  <si>
    <t>01.917.194/0003-19</t>
  </si>
  <si>
    <t>(64) 3611-7100</t>
  </si>
  <si>
    <t>C &amp; C CASA E CONSTRUCAO LTDA.</t>
  </si>
  <si>
    <t>63.004.030/0030-20</t>
  </si>
  <si>
    <t>(11) 4001-0100</t>
  </si>
  <si>
    <t>AGVALUE TECNOLOGIA AGRÍCOLA LTDA - EPP (CANAL AGRICOLA)</t>
  </si>
  <si>
    <r>
      <t>Sala 06 // Troca de tubo para reparo de vazamento do dreno de ar condicinado (Tubos de 25 mm) // Comprimento do rasgo = 3,00 m; Largura = 0,30 m; Área = 3,00 x 0,30 = 0,90 m</t>
    </r>
    <r>
      <rPr>
        <b/>
        <sz val="9"/>
        <color rgb="FF010000"/>
        <rFont val="Arial"/>
        <family val="2"/>
      </rPr>
      <t>²</t>
    </r>
  </si>
  <si>
    <t>COTAÇÃO 56</t>
  </si>
  <si>
    <t>SUBSTRATO COMERCIAL</t>
  </si>
  <si>
    <t>COTAÇÃO 57</t>
  </si>
  <si>
    <t>DANUBIA LOPES CONDE ASSUNCAO (FLORA IPÊ CERRADO)</t>
  </si>
  <si>
    <t>26.425.794/0001-29</t>
  </si>
  <si>
    <t>(64) 3612-2459</t>
  </si>
  <si>
    <t>KG</t>
  </si>
  <si>
    <t>cf9k689aj8</t>
  </si>
  <si>
    <t>BEATRIZ SILVA DO NASCIMENTO LTDA (VIVEIRO FLORA VERDE)</t>
  </si>
  <si>
    <t>10.884.652/0001-90</t>
  </si>
  <si>
    <t>(64) 98428-5679</t>
  </si>
  <si>
    <t>ARLINDO DE FREITAS PLANTAS (AGRO TEXAS)</t>
  </si>
  <si>
    <t xml:space="preserve"> 58.542.036/0001-87</t>
  </si>
  <si>
    <t>(11) 5506-1969</t>
  </si>
  <si>
    <t>DANUBIA LOPES CONDE ASSUNCAO (FLORA IPE DO CERRADO)</t>
  </si>
  <si>
    <t>IBIRAPUERA GARDEN COMERCIO VAREJISTA DE PLANTAS LTDA (BUTANTAN GARDEN)</t>
  </si>
  <si>
    <t>10.777.687/0002-00</t>
  </si>
  <si>
    <t>(11) 2935-5375</t>
  </si>
  <si>
    <t>CASA DUARTESANATO LTDA</t>
  </si>
  <si>
    <t>38.050.257/0001-20</t>
  </si>
  <si>
    <t>(62) 99395-4791</t>
  </si>
  <si>
    <t>PAU BRASILIA COMERCIO DE SEMENTES E MUDAS LTDA</t>
  </si>
  <si>
    <t>37.132.693/0001-86</t>
  </si>
  <si>
    <t>(61) 3468-3191</t>
  </si>
  <si>
    <t>IN-PLANT PAISAGISMO LTDA</t>
  </si>
  <si>
    <t>26.661.132/0001-58</t>
  </si>
  <si>
    <t>(62) 3249-3043</t>
  </si>
  <si>
    <t>cd6dk99546</t>
  </si>
  <si>
    <t>VERDECO INDUSTRIA COMERCIO E IMPORTACAO DE ARTEFATOS PARA JARDIM LTDA (VASART)</t>
  </si>
  <si>
    <t>08.031.381/0001-88</t>
  </si>
  <si>
    <t>(11) 4161-8070</t>
  </si>
  <si>
    <t>1.13</t>
  </si>
  <si>
    <t>PLANTARI PLANTAS E PAISAGISMO LTDA</t>
  </si>
  <si>
    <t>27.719.881/0001-51</t>
  </si>
  <si>
    <t>(61) 4101-8280</t>
  </si>
  <si>
    <t>LOJA DAS PALMEIRAS LTDA</t>
  </si>
  <si>
    <t>42.993.184/0001-88</t>
  </si>
  <si>
    <t>(19) 994248828</t>
  </si>
  <si>
    <t>TOWER PLAST LTDA (PLASTPRIME)</t>
  </si>
  <si>
    <t>01.371.166/0001-87</t>
  </si>
  <si>
    <t>sac@plastprime.com</t>
  </si>
  <si>
    <t>DIAGRI DISTRIBUIDORA AGRICOLA LTDA (CASA DA HORTA)</t>
  </si>
  <si>
    <t>24.083.229/0001-03</t>
  </si>
  <si>
    <t>(27) 3029-7750</t>
  </si>
  <si>
    <t>P8884</t>
  </si>
  <si>
    <t>GUIOMAR CARVALHO NEUDING (SITIO DA MATA)</t>
  </si>
  <si>
    <t>10.708.848/0001-23</t>
  </si>
  <si>
    <t>(11) 2853-0644</t>
  </si>
  <si>
    <t>M.F. RURAL REPRESENTACOES LTDA</t>
  </si>
  <si>
    <t>07.095.159/0001-86</t>
  </si>
  <si>
    <t>mfrural@mfrural.com.br</t>
  </si>
  <si>
    <t>1.06</t>
  </si>
  <si>
    <t>YUTAKA COMERCIO DE FLORES E PLANTAS LTDA (UEMUIRA FLORES E PLANTAS)</t>
  </si>
  <si>
    <t>18.469.610/0001-02</t>
  </si>
  <si>
    <t>(11) 3641-1004</t>
  </si>
  <si>
    <t>CÓD. 7F8B4</t>
  </si>
  <si>
    <t>FLORENCIA SERVICOS PAISAGISTICOS LTDA</t>
  </si>
  <si>
    <t>20.001.207/0001-98</t>
  </si>
  <si>
    <t>(11) 3668-9474</t>
  </si>
  <si>
    <t>SHEEDY TOMAS JAOUICHE LTDA (INDOOR PLANTAS)</t>
  </si>
  <si>
    <t>36.140.114/0001-84</t>
  </si>
  <si>
    <t>(43) 98836-6616</t>
  </si>
  <si>
    <t>H07228</t>
  </si>
  <si>
    <t xml:space="preserve">COTAÇÃO 49 </t>
  </si>
  <si>
    <t xml:space="preserve">COTAÇÃO 51 </t>
  </si>
  <si>
    <t>Cobertura Nova // Pilaretes ; Terças ; Vigas // Área = 254,09 m²</t>
  </si>
  <si>
    <t>16.32.120</t>
  </si>
  <si>
    <t>CPOS</t>
  </si>
  <si>
    <t>maio/ 2023</t>
  </si>
  <si>
    <t>EVOLUX TOLDOS LTDA</t>
  </si>
  <si>
    <t>46.378.803/0001-85</t>
  </si>
  <si>
    <t>(62) 3280-5130</t>
  </si>
  <si>
    <t>1.01</t>
  </si>
  <si>
    <t>1.02</t>
  </si>
  <si>
    <t xml:space="preserve">PHILODENDRON BINNATIFIDUM - FILODENDRO DE FOLHA DE PENTE - MUDAS BEM FORMADAS COM ALTURA APROXIMADA DE 40 CM </t>
  </si>
  <si>
    <t>GYN COBERTURAS LTDA</t>
  </si>
  <si>
    <t>17.081.115/0001-50</t>
  </si>
  <si>
    <t>(62) 3922-4373</t>
  </si>
  <si>
    <t>1.03</t>
  </si>
  <si>
    <t>1.1</t>
  </si>
  <si>
    <t>1.2</t>
  </si>
  <si>
    <t>1.3</t>
  </si>
  <si>
    <t>1.4</t>
  </si>
  <si>
    <t>1.5</t>
  </si>
  <si>
    <t>1.6</t>
  </si>
  <si>
    <t>1.7</t>
  </si>
  <si>
    <t>1.8</t>
  </si>
  <si>
    <t>1.9</t>
  </si>
  <si>
    <t>1.10</t>
  </si>
  <si>
    <t>1.11</t>
  </si>
  <si>
    <t>1.12</t>
  </si>
  <si>
    <t>1.14</t>
  </si>
  <si>
    <t>1.15</t>
  </si>
  <si>
    <t>1.16</t>
  </si>
  <si>
    <t>1.17</t>
  </si>
  <si>
    <t>1.18</t>
  </si>
  <si>
    <t>1.19</t>
  </si>
  <si>
    <t>1.20</t>
  </si>
  <si>
    <t>1.21</t>
  </si>
  <si>
    <t>1.22</t>
  </si>
  <si>
    <t>1.23</t>
  </si>
  <si>
    <t>1.24</t>
  </si>
  <si>
    <t>1.25</t>
  </si>
  <si>
    <t>1.26</t>
  </si>
  <si>
    <t>1.27</t>
  </si>
  <si>
    <t>1.28</t>
  </si>
  <si>
    <t>1.29</t>
  </si>
  <si>
    <t>1.30</t>
  </si>
  <si>
    <t>1.31</t>
  </si>
  <si>
    <t>1.32</t>
  </si>
  <si>
    <t>1.33</t>
  </si>
  <si>
    <t>1.34</t>
  </si>
  <si>
    <t>2.1</t>
  </si>
  <si>
    <t>2.2</t>
  </si>
  <si>
    <t>2.3</t>
  </si>
  <si>
    <t>2.4</t>
  </si>
  <si>
    <t>2.5</t>
  </si>
  <si>
    <t>COTAÇÃO 58</t>
  </si>
  <si>
    <t>JNX COMERCIAL DE MATERIAL ELETRICO E ILUMINACAO LTDA</t>
  </si>
  <si>
    <t>07.014.421/0001-10</t>
  </si>
  <si>
    <t>(11) 95926-2000</t>
  </si>
  <si>
    <t>1568892134</t>
  </si>
  <si>
    <t>TAMPA PARA CONDULETE METÁLICO PARA 2 TOMADAS (FORNECIMENTO E INSTALAÇÃO)</t>
  </si>
  <si>
    <t>MODULO TOMADA HDMI (FORNECIMENTO E INSTALAÇÃO)</t>
  </si>
  <si>
    <t>5.1</t>
  </si>
  <si>
    <t>5.4</t>
  </si>
  <si>
    <t>5.5</t>
  </si>
  <si>
    <t>5.6</t>
  </si>
  <si>
    <t>5.7</t>
  </si>
  <si>
    <t>5.8</t>
  </si>
  <si>
    <t>Lavatórios dos Sanitáros - Engates flexíveis</t>
  </si>
  <si>
    <t>5.9</t>
  </si>
  <si>
    <t>5.10</t>
  </si>
  <si>
    <t>5.11</t>
  </si>
  <si>
    <t>5.12</t>
  </si>
  <si>
    <t>5.13</t>
  </si>
  <si>
    <t>5.14</t>
  </si>
  <si>
    <t>5.15</t>
  </si>
  <si>
    <t>5.16</t>
  </si>
  <si>
    <t>5.17</t>
  </si>
  <si>
    <t>5.18</t>
  </si>
  <si>
    <t>5.19</t>
  </si>
  <si>
    <t>5.20</t>
  </si>
  <si>
    <t>5.21</t>
  </si>
  <si>
    <t>5.22</t>
  </si>
  <si>
    <t>5.23</t>
  </si>
  <si>
    <t>5.24</t>
  </si>
  <si>
    <t>5.25</t>
  </si>
  <si>
    <t>6.4</t>
  </si>
  <si>
    <t>7.3</t>
  </si>
  <si>
    <t>7.4</t>
  </si>
  <si>
    <t>8.1</t>
  </si>
  <si>
    <t>8.2</t>
  </si>
  <si>
    <t>8.3</t>
  </si>
  <si>
    <t>8.4</t>
  </si>
  <si>
    <t>8.5</t>
  </si>
  <si>
    <t>9.4</t>
  </si>
  <si>
    <t>10.4</t>
  </si>
  <si>
    <t>11.1</t>
  </si>
  <si>
    <t>11.3</t>
  </si>
  <si>
    <t>12.1</t>
  </si>
  <si>
    <t>12.2</t>
  </si>
  <si>
    <t>12.3</t>
  </si>
  <si>
    <t>13.1</t>
  </si>
  <si>
    <t>SINAPI 91307</t>
  </si>
  <si>
    <t>16.1</t>
  </si>
  <si>
    <t>16.2</t>
  </si>
  <si>
    <t>Cooworking</t>
  </si>
  <si>
    <t>SR 01</t>
  </si>
  <si>
    <t>SR 02</t>
  </si>
  <si>
    <t>SR 03</t>
  </si>
  <si>
    <t>SR 04</t>
  </si>
  <si>
    <t>SR 05</t>
  </si>
  <si>
    <t>SR 06</t>
  </si>
  <si>
    <t>Prototipagem</t>
  </si>
  <si>
    <t>SL AULA 01</t>
  </si>
  <si>
    <t>SL AULA 02</t>
  </si>
  <si>
    <t>SL AULA 03</t>
  </si>
  <si>
    <t>SL AULA 04</t>
  </si>
  <si>
    <t>SL AULA 05</t>
  </si>
  <si>
    <t>SL AULA 06</t>
  </si>
  <si>
    <t>CIRC. 01</t>
  </si>
  <si>
    <t>Casa de máquinas</t>
  </si>
  <si>
    <t>16.3</t>
  </si>
  <si>
    <t>16.4</t>
  </si>
  <si>
    <t>16.5</t>
  </si>
  <si>
    <t>PERSIANA ROLO SEM BOX TECIDO BLACKOUT 1,10 X 1,60 M (FORNECIMENTO E INSTALAÇÃO)</t>
  </si>
  <si>
    <t>Coordenação 01 // Quantidade = 1,10 x 2,20 x 02 unidades = 4,84 m²</t>
  </si>
  <si>
    <t>Subsecretaria // Quantidade = 1,10 x 2,20 x 02 unidades = 4,84 m²</t>
  </si>
  <si>
    <t>Coordenação 02 // Quantidade = 1,10 x 1,60 x 02 unidades = 3,52 m²</t>
  </si>
  <si>
    <t>Sala dos Professores // Quantidade = 1,10 x 1,60 x 02 unidades = 3,52 m²</t>
  </si>
  <si>
    <t>Empresa Ancora // Quantidade = 1,10 x 1,60 x 03 unidades = 5,28 m²</t>
  </si>
  <si>
    <t>SR01 / SR02 / SR03 / SR04 // Quantidade = 1,10 x 1,60 x 05 unidades = 8,80 m²</t>
  </si>
  <si>
    <t>Coworking // Quantidade = 1,10 x 1,60 x 07 unidades = 12,32 m²</t>
  </si>
  <si>
    <t>SR05 / SR06 // Quantidade = 1,10 x 1,60 x 02 unidades = 3,52 m²</t>
  </si>
  <si>
    <t>Prototipagem // Quantidade = 1,10 x 1,60 x 03 unidades = 5,28 m²</t>
  </si>
  <si>
    <t>Sala de Aula 01 // Quantidade = 1,10 x 1,60 x 04 unidades = 7,04 m²</t>
  </si>
  <si>
    <t>Sala de Aula 02 // Quantidade = 1,10 x 1,60 x 04 unidades = 7,04 m²</t>
  </si>
  <si>
    <t>Sala de Aula 06 // Quantidade = 1,10 x 1,60 x 04 unidades = 7,04 m²</t>
  </si>
  <si>
    <t>Sala de Aula 05 // Quantidade = 1,10 x 1,60 x 04 unidades = 7,04 m²</t>
  </si>
  <si>
    <t>Sala de Aula 04 // Quantidade = 1,10 x 1,60 x 04 unidades = 7,04 m²</t>
  </si>
  <si>
    <t>Sala de Aula 03 // Quantidade = 1,10 x 1,60 x 04 unidades = 7,04 m²</t>
  </si>
  <si>
    <t>16.6</t>
  </si>
  <si>
    <t>16.7</t>
  </si>
  <si>
    <t>Ambientes identificados de acordo com PLANTA BAIXA - À CONSTRUIR</t>
  </si>
  <si>
    <t>17.1</t>
  </si>
  <si>
    <t>17.2</t>
  </si>
  <si>
    <t>17.3</t>
  </si>
  <si>
    <t>17.4</t>
  </si>
  <si>
    <t>17.5</t>
  </si>
  <si>
    <t>17.6</t>
  </si>
  <si>
    <t>17.7</t>
  </si>
  <si>
    <t>17.8</t>
  </si>
  <si>
    <t>17.9</t>
  </si>
  <si>
    <t>17.10</t>
  </si>
  <si>
    <t>17.11</t>
  </si>
  <si>
    <t>17.12</t>
  </si>
  <si>
    <t>17.13</t>
  </si>
  <si>
    <t>17.14</t>
  </si>
  <si>
    <t>COTAÇÃO 59</t>
  </si>
  <si>
    <t>COLOR PRINT IMPRESSÃO DIGITAL</t>
  </si>
  <si>
    <t>11.313/0400001-00</t>
  </si>
  <si>
    <t>IDEALIZE SUPRIMENTOS</t>
  </si>
  <si>
    <t>33.832.584/0001-10</t>
  </si>
  <si>
    <t>(64) 3621-0091</t>
  </si>
  <si>
    <t>PRO COMUNICAÇÃO VISUAL</t>
  </si>
  <si>
    <t>17.15</t>
  </si>
  <si>
    <t>Centro acadêmico // Troca de tubo para reparo de vazamento do dreno de ar condicionado (Tubos de 25 mm) // Comprimento do rasgo = 3,00 m</t>
  </si>
  <si>
    <t>Sala dos professores - Remoção eletrodutos aparentes (canaletas de pvc) // Extensão = 8,00 + 4,85 + 6,00 = 18,85 m</t>
  </si>
  <si>
    <t>REFORMA DO BLOCO VII PARA IMPLEMENTAÇÃO DO CENTRO DE INOVAÇÃO, PESQUISA E PÓS GRADUAÇÃO DA UNIVERSIDADE DE RIO VERDE - CAMPUS RIO VERDE</t>
  </si>
  <si>
    <t>Sala de aula 07 - Lousa em fórmica branca com requadro em madeira e porta giz inferior - 6,80 m X 1,20 m \\ Área = 6,80 x 1,20 = 8,16 m²</t>
  </si>
  <si>
    <t>Sala de aula 08 - Lousa em fórmica branca com requadro em madeira e porta giz inferior - 6,80 m X 1,20 m \\ Área = 6,80 x 1,20 = 8,16 m²</t>
  </si>
  <si>
    <t>Sala de aula 09 - Lousa em fórmica branca com requadro em madeira e porta giz inferior - 6,80 m X 1,20 m \\ Área = 6,80 x 1,20 = 8,16 m²</t>
  </si>
  <si>
    <t>Sala de aula 10 - Lousa em fórmica branca com requadro em madeira e porta giz inferior - 6,80 m X 1,20 m \\ Área = 6,80 x 1,20 = 8,16 m²</t>
  </si>
  <si>
    <t>Sala de aula 11 - Lousa em fórmica branca com requadro em madeira e porta giz inferior - 6,80 m X 1,20 m \\ Área = 6,80 x 1,20 = 8,16 m²</t>
  </si>
  <si>
    <t>Sala de aula 12 - Lousa em fórmica branca com requadro em madeira e porta giz inferior - 6,80 m X 1,20 m \\ Área = 6,80 x 1,20 = 8,16 m²</t>
  </si>
  <si>
    <t>Emassamento das faces de alvenaria em que haverá remoção das lousas (serviço a ser realizado, caso após a remoção, as paredes estejam deterioradas) // Levantamento realizado na prancha "Planta baixa a demolir"</t>
  </si>
  <si>
    <t>Sala dos Professores</t>
  </si>
  <si>
    <t xml:space="preserve">Sala 07 // Extensão = 8 m ; Altura = 3,10 m // Área = 8 x 3,10 = 24,80 m² </t>
  </si>
  <si>
    <t xml:space="preserve">Sala 08 // Extensão = 8 m ; Altura = 3,10 m // Área = 8 x 3,10 = 24,80 m² </t>
  </si>
  <si>
    <t xml:space="preserve">Sala 09 // Extensão = 8 m ; Altura = 3,10 m // Área = 8 x 3,10 = 24,80 m² </t>
  </si>
  <si>
    <t xml:space="preserve">Sala 10 // Extensão = 8 m ; Altura = 3,10 m // Área = 8 x 3,10 = 24,80 m² </t>
  </si>
  <si>
    <t xml:space="preserve">Sala 11 // Extensão = 8 m ; Altura = 3,10 m // Área = 8 x 3,10 = 24,80 m² </t>
  </si>
  <si>
    <t xml:space="preserve">Sala 12 // Extensão = 8 m ; Altura = 3,10 m // Área = 8 x 3,10 = 24,80 m² </t>
  </si>
  <si>
    <t xml:space="preserve">Cobertura de Telha de Fibrocimento. Volume estimado = 1722,41 m² x (6/1000) = 10,33 m³. Coeficiente de aumento volumétrico considerado = 50%. Volume estimado com aumento volumétrico = 10,33 x 1,50 = 15,50 m³ </t>
  </si>
  <si>
    <t>Entulhos gerados durante o processo de remoção de janelas e portas // Volume de entulhos estimada = área x 0,10 = 78,39 x 0,10 = 7,84 m³</t>
  </si>
  <si>
    <t>Entulhos gerados durante a demolição das paredes de alvenaria // Volume = 32,27 m³ // Fator de aumento volumétrico = 50% // Volume resíduo = 32,27 x 1,50 = 48,41 m³</t>
  </si>
  <si>
    <t>Entulhos gerados do processo de demolição de bancadas de granito // Área = 12,81 x 0,05 = 0,64 m³</t>
  </si>
  <si>
    <t>Rufos e Calhas. Área = 255,22 m² // Espessura estimada = 1 mm // Volume estimado = 255,22 x 0,001 = 0,26 m³ // Coeficiente de aumento volumétrico considerado = 20% // Volume estimado com aumento volumétrico = 0,26 x 1,20 = 0,31 m³</t>
  </si>
  <si>
    <t>Entulhos gerados do processo de remoção de eletrodutos // Extensão = 104,19 m // Volume = área x extensão x 1,20 = (3,14 x 0,01²) x 104,19 x 1,20 = 0,04 m³</t>
  </si>
  <si>
    <t>Entulhos gerados do processo de demolição do Forro PVC. Volume estimado = (1.573,86 m² x (14/1000) ) = 22,03 m³. Coeficiente de aumento volumétrico considerado = 50%. Volume estimado com aumento volumétrico = 22,03 x 1,50 = 33,05 m³</t>
  </si>
  <si>
    <t>Luminárias. Dimensões aproximadas luminárias = 6,5 x 120 x 12 = 9.360 cm³ = 0,00936 m³. Quantidade de luminárias = 237 unidades. Volume total = 0,00936 x 233 = 2,22 m³. Coeficiente de aumento volumétrico considerado = 20%. Volume estimado com aumento volumétrico = 2,22 x 1,20 = 2,66 m³</t>
  </si>
  <si>
    <t>Entulhos gerados do processo de demolição das lousas // Volume =  106,08 x 0,03 x 1,50 = 4,77 m³</t>
  </si>
  <si>
    <t>Entulhos gerados do processo de demolição da alvenaria com blocos de concreto // Volume = 1,40 m³ x 1,30 = 1,82 m³</t>
  </si>
  <si>
    <t>Grauteamento do bloco cerâmico (local de instalação dos chumbadores) // Quantidade = 34 // Dimensões do corte : comprimento = 20 cm ; profundidade = 23 cm ; largura = 8 cm // Volume = 0,20 x 0,23 x 0,08 x 34 = 0,13 m³</t>
  </si>
  <si>
    <t>REMOÇÃO DE APARELHO DE AR CONDICIONADO DE 24000 BTU (COM REAPROVEITAMENTO)</t>
  </si>
  <si>
    <t>Centro acadêmico (Dreno danificado) // Aparelho a ser retirado e instalado no mesmo local</t>
  </si>
  <si>
    <t>Sala 06 (Dreno danificado) // Aparelhos a ser retirado e instalado no mesmo local</t>
  </si>
  <si>
    <t>Levantamento realizado considerando planta baixa de demolição (nomeclatura das salas)</t>
  </si>
  <si>
    <t>Sala 02 // Aparelho a ser retirado e reposicionado na empresa ancora // Será removido o aparelho que ficaria dentro de SR01</t>
  </si>
  <si>
    <t>Sala 03 // Remoção dos dois aparelhos de ar condicionado // Um dos aparelhos deverá ser reposicionado na "nova" sala 06 e outro no ambiente de coworking</t>
  </si>
  <si>
    <t>Sala 05 // Remoção de um aparelho de ar condicionado (remoção do aparelho de ar que ficaria no ambiente SR05) // O aparelho deverá ser reposicionado no "novo" ambiente denominado de prototipagem</t>
  </si>
  <si>
    <t xml:space="preserve">Sala 06 // Remoção de um aparelho de ar condicionado (remoção do aparelho de ar que ficaria no ambiente SR06) // O aparelho deverá ser entregue a fiscalização para reaproveitamento </t>
  </si>
  <si>
    <t>Subsecretaria // Aparelho a ser retirado e entregue a fiscalização para reaproveitamento</t>
  </si>
  <si>
    <t>Portanto, teremos 8 aparelhos a serem removidos; sendo que 02 serão reinstalados no mesmo local; 04 serão reposicionados; e 02 deverão ser entregues à fiscalização para encaminhamento ao Departamento de Patrimônio.</t>
  </si>
  <si>
    <t>Empresa ancora // Aparelho proveniente da "antiga" sala 02</t>
  </si>
  <si>
    <t>Sala 06 (nova denominação) // Aparelho proveniente da "antiga" sala 03</t>
  </si>
  <si>
    <t>Coworking // Aparelho proveniente da "antiga" sala 03</t>
  </si>
  <si>
    <t>Prototipagem // Aparelho proveniente da "antiga" sala 05</t>
  </si>
  <si>
    <t>INSTALAÇÃO DE APARELHO DE AR CONDICIONADO DE 12000 BTUs</t>
  </si>
  <si>
    <t>REINSTALAÇÃO DE APARELHO DE AR CONDICIONADO DE 24000 BTUs</t>
  </si>
  <si>
    <t>SR01</t>
  </si>
  <si>
    <t>SR02</t>
  </si>
  <si>
    <t>SR03</t>
  </si>
  <si>
    <t>SR04</t>
  </si>
  <si>
    <t>SR05</t>
  </si>
  <si>
    <t>SR06</t>
  </si>
  <si>
    <t>SINAPI 43190</t>
  </si>
  <si>
    <t xml:space="preserve">	AR CONDICIONADO SPLIT ON/OFF, HI-WALL (PAREDE), 12000 BTUS/H, CICLO FRIO, 60 HZ, CLASSIFICACAO ENERGETICA A - SELO PROCEL, GAS HFC, CONTROLE S/ FIO</t>
  </si>
  <si>
    <t>COMP. 19</t>
  </si>
  <si>
    <t>COMP. 38</t>
  </si>
  <si>
    <t>COMP. 39</t>
  </si>
  <si>
    <t>COMP. 40</t>
  </si>
  <si>
    <t>COMP. 22</t>
  </si>
  <si>
    <t>COMP. 26</t>
  </si>
  <si>
    <t>COMP. 27</t>
  </si>
  <si>
    <t>COMP. 28</t>
  </si>
  <si>
    <t>COMP. 29</t>
  </si>
  <si>
    <t>COMP. 30</t>
  </si>
  <si>
    <t>COMP. 31</t>
  </si>
  <si>
    <t>COMP. 32</t>
  </si>
  <si>
    <t>COMP. 33</t>
  </si>
  <si>
    <t>COMP. 34</t>
  </si>
  <si>
    <t>COMP. 35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</si>
  <si>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</si>
  <si>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</si>
  <si>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</si>
  <si>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</si>
  <si>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</si>
  <si>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</si>
  <si>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</si>
  <si>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</si>
  <si>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</si>
  <si>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</si>
  <si>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</si>
  <si>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</si>
  <si>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</si>
  <si>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</si>
  <si>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</si>
  <si>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</si>
  <si>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</si>
  <si>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</si>
  <si>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</si>
  <si>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</si>
  <si>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</si>
  <si>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</si>
  <si>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</si>
  <si>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</si>
  <si>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</si>
  <si>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</si>
  <si>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</si>
  <si>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</si>
  <si>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</si>
  <si>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</si>
  <si>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</si>
  <si>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</si>
  <si>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</si>
  <si>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</si>
  <si>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</si>
  <si>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</si>
  <si>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</si>
  <si>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6.5</t>
  </si>
  <si>
    <t>6.6</t>
  </si>
  <si>
    <t>6.7</t>
  </si>
  <si>
    <t>6.8</t>
  </si>
  <si>
    <t>6.9</t>
  </si>
  <si>
    <t>6.10</t>
  </si>
  <si>
    <t>6.11</t>
  </si>
  <si>
    <t>6.12</t>
  </si>
  <si>
    <t>6.13</t>
  </si>
  <si>
    <t>6.14</t>
  </si>
  <si>
    <t>6.15</t>
  </si>
  <si>
    <t>6.16</t>
  </si>
  <si>
    <t>6.17</t>
  </si>
  <si>
    <t>6.18</t>
  </si>
  <si>
    <t>6.19</t>
  </si>
  <si>
    <t>6.20</t>
  </si>
  <si>
    <t>6.21</t>
  </si>
  <si>
    <t>6.22</t>
  </si>
  <si>
    <t>6.23</t>
  </si>
  <si>
    <t>6.24</t>
  </si>
  <si>
    <t>6.25</t>
  </si>
  <si>
    <t>9.5</t>
  </si>
  <si>
    <t>11.4</t>
  </si>
  <si>
    <t>13.2</t>
  </si>
  <si>
    <t>13.3</t>
  </si>
  <si>
    <t>13.4</t>
  </si>
  <si>
    <t>13.8</t>
  </si>
  <si>
    <t>13.5</t>
  </si>
  <si>
    <t>13.6</t>
  </si>
  <si>
    <t>13.7</t>
  </si>
  <si>
    <t>13.9</t>
  </si>
  <si>
    <t>13.10</t>
  </si>
  <si>
    <t>13.11</t>
  </si>
  <si>
    <t>17.16</t>
  </si>
  <si>
    <t>17.17</t>
  </si>
  <si>
    <t>17.18</t>
  </si>
  <si>
    <t>17.19</t>
  </si>
  <si>
    <t>17.20</t>
  </si>
  <si>
    <t>17.21</t>
  </si>
  <si>
    <t>17.22</t>
  </si>
  <si>
    <t>17.23</t>
  </si>
  <si>
    <t>17.24</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</si>
  <si>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</si>
  <si>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</si>
  <si>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</si>
  <si>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</si>
  <si>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</si>
  <si>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</si>
  <si>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</si>
  <si>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</si>
  <si>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</si>
  <si>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</si>
  <si>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</si>
  <si>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</si>
  <si>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</si>
  <si>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</si>
  <si>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</si>
  <si>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</si>
  <si>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</si>
  <si>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</si>
  <si>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</si>
  <si>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</si>
  <si>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</si>
  <si>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</si>
  <si>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</si>
  <si>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</si>
  <si>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</si>
  <si>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</si>
  <si>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</si>
  <si>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</si>
  <si>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 xml:space="preserve">TOTEM EM ACM - CENTRO DE INOVAÇÃO, PESQUISA E PÓS-GRADUAÇÃO - DIMENSÕES: ALTURA = 271 CM ; COMPRIMENTO = 89 CM ; LARGURA = 20 CM </t>
  </si>
  <si>
    <t>J01 (2,00 m x 1,00 m) -  Quantidade = 13 (conforme discriminação apresentada a seguir)</t>
  </si>
  <si>
    <t xml:space="preserve">Portas </t>
  </si>
  <si>
    <t>P01 (1,00 m x 2,10 m) - Quantidade = 2 (conforme discriminação apresentada a seguir)</t>
  </si>
  <si>
    <t>Remoção das calhas existentes // Cobertura da fachada (região de avanço) // Dimensões da calha 12 cm x 30 cm // Extensão = 11,35 m // Área de calha = (0,12 + 0,30 + 0,30) x 11,35 = 8,17 m²</t>
  </si>
  <si>
    <t xml:space="preserve">Dimensões 2,0 m x 1,5 m (padrão UniRV). </t>
  </si>
  <si>
    <t xml:space="preserve">Banheiro Masculino // Substituição de porta papel higiênico // 8 cabines </t>
  </si>
  <si>
    <t xml:space="preserve">REMOÇÃO DE TOTEM  - DIMENSÕES: ALTURA = 271 CM ; COMPRIMENTO = 89 CM ; LARGURA = 20 CM </t>
  </si>
  <si>
    <t>Entulhos gerados durante o processo de demolição de concreto (laje e vigas)  // Volume = 4,49 m³// Fator de aumento volumétrico = 50% // Volume resíduo = 4,49 x 1,50 = 6,74 m³</t>
  </si>
  <si>
    <t xml:space="preserve">LOCACAO DE CONTAINER 2,30 X 6,00 M, ALT. 2,50 M, PARA ESCRITORIO, SEM DIVISORIAS INTERNAS E SEM SANITARIO </t>
  </si>
  <si>
    <t>Nova Cobertura // Parafusos de ancoragem // Quantidade = 128 // Peso total = 39,49 kg</t>
  </si>
  <si>
    <t xml:space="preserve">Regularização para instalação de chapa de base // Quantidade = 34 // Dimensões da regularização : comprimento = 20 cm ; largura = 8 cm // Área = 0,20 x 0,08 x 34 = 0,54 m² </t>
  </si>
  <si>
    <t xml:space="preserve">Cobertura Prédio Principal // Extensão = 70,85 + 70,85 = 141,70 m </t>
  </si>
  <si>
    <t>Fachada Frontal // Platibanda - Trecho Vertical - Extensão =  11,80 x 2 = 23,60 m // Altura = 1,45 ; Área = 1,45 x 23,60 = 34,22 m // Platibanda Trecho Horizontal - Extensão = 11,15 x 2 = 22,30 m ; Largura = 0,50 m ; Área = 22,30 x 0,50 = 11,15 m² // Área total = 34,22 + 11,15 = 45,37 m²</t>
  </si>
  <si>
    <t>Fachada Posterior // Platibanda - Trecho Vertical - Extensão =  11,80 x 2 = 23,60 m // Altura = 1,45 ; Área = 1,45 x 23,60 = 34,22 m // Platibanda Trecho Horizontal - Extensão = 11,15 x 2 = 22,30 m ; Largura = 0,50 m ; Área = 22,30 x 0,50 = 11,15 m² // Área total = 34,22 + 11,15 = 45,37 m²</t>
  </si>
  <si>
    <t>Casa de Máquinas // Área = 2,50 x 2,10 = 5,25 m²  // Pintar 2 faces</t>
  </si>
  <si>
    <t>Cobertura Nova // Chapade Base // Área = 0,10 x 0,20 x 34 = 0,68 m²</t>
  </si>
  <si>
    <t>Calçada Interna = 32,010 + 17,70 + 17,38 + 7,74 + 7,74 = 82,57 m²</t>
  </si>
  <si>
    <t>FACHADA EM ACM AZUL INCLUINDO ESTRUTURA DE FIXAÇÃO (FORNECIMENTO E INSTALAÇÃO) - CONFORME PROJETO ARQUITETÔNICO</t>
  </si>
  <si>
    <t>LETRAS EM CAIXA ALTA (“CENTRO DE INOVAÇÃO PESQUISA E PÓS GRADUAÇÃO”) EM ACRILICO LEITOSO COM PONTO DE LUZ (FORNECIMENTO E INSTALAÇÃO) - CONFORME PROJETO ARQUITETÔNICO</t>
  </si>
  <si>
    <t>LOGO METALIZADA NA COR PRATA “UNIRV” (FORNECIMENTO E INSTALAÇÃO) - CONFORME PROJETO ARQUITETÔNICO</t>
  </si>
  <si>
    <t>BRASÃO EM ACRÍLICO COM ILUMINAÇÃO E ADESIVO (FORNECIMENTO E INSTALAÇÃO) - CONFORME PROJETO ARQUITETÔNICO</t>
  </si>
  <si>
    <t>COMP. 37</t>
  </si>
  <si>
    <t>COMP. 21</t>
  </si>
  <si>
    <t>COMP. 16</t>
  </si>
  <si>
    <t>COMP. 15</t>
  </si>
  <si>
    <t>COMP. 05</t>
  </si>
  <si>
    <t>FECHADURA DE EMBUTIR PARA PORTAS INTERNAS, COMPLETA, ACABAMENTO PADRÃO POPULAR, COM EXECUÇÃO DE FURO - FORNECIMENTO E INSTALAÇÃO. AF_12/2019 // ECHADURA ESPELHO PARA PORTA INTERNA, EM ACO INOX (MAQUINA, TESTA E CONTRA-TESTA) E EM ZAMAC (MACANETA, LINGUETA E TRINCOS) COM ACABAMENTO CROMADO, MAQUINA DE 40 MM, INCLUINDO CHAVE TIPO INTERNA</t>
  </si>
  <si>
    <t>GF ALUMINIUM EIRELI</t>
  </si>
  <si>
    <t>PAINEL FIXO DE VIDRO TEMPERADO INCOLOR 8 MM; PERFIS EM ALUMÍNIO NA COR BRANCA 2,77 M X 3,0 M (FORNECIMENTO E INSTALAÇÃO)</t>
  </si>
  <si>
    <t>ALR MATERIAIS ELÉTRICOS</t>
  </si>
  <si>
    <t>18.040.800/0001-00</t>
  </si>
  <si>
    <t>3597-3599</t>
  </si>
  <si>
    <t>ELETROCALHA PERFURADA TIPO C 150x100 MM (FORNECIMENTO E INSTALAÇÃO) - CHAPA 22</t>
  </si>
  <si>
    <t>ELETROCALHA PERFURADA TIPO C 150 X 100 X 3000 MM - CHAPA 22</t>
  </si>
  <si>
    <t>(62 ) 3531 -2200</t>
  </si>
  <si>
    <t>EMOP - RJ (tabela referencial)</t>
  </si>
  <si>
    <t xml:space="preserve">SANTIL </t>
  </si>
  <si>
    <t>52815-3</t>
  </si>
  <si>
    <t>ORSE (tabela referencial)</t>
  </si>
  <si>
    <t>059376-1</t>
  </si>
  <si>
    <t xml:space="preserve">LUMINÁRIA PLAFON 30 W - DIMENSÕES 40 CM X 40 CM </t>
  </si>
  <si>
    <t>NR COMÉRCIO DE ILUMINAÇÃO LTDA (VITA LUZ)</t>
  </si>
  <si>
    <t>46.274.974/0001-64</t>
  </si>
  <si>
    <t>(51) 3428-6829</t>
  </si>
  <si>
    <t>201132</t>
  </si>
  <si>
    <t>15/02/2023</t>
  </si>
  <si>
    <t>STIF - EMPÓRIO DA ILUMINAÇÃO</t>
  </si>
  <si>
    <t>38.088.342/0001-88</t>
  </si>
  <si>
    <t>(64) 99259-2688 / (64) 3051-2624</t>
  </si>
  <si>
    <t>16/02/2023</t>
  </si>
  <si>
    <t>LUMIÈREGYN LTDA</t>
  </si>
  <si>
    <t>31.716.971/0001-66</t>
  </si>
  <si>
    <t>0800 225 1000</t>
  </si>
  <si>
    <t>17/02/2023</t>
  </si>
  <si>
    <t>* O fornecedor 02 ofertou 10,3001% de desconto sob o valor total; tendo sido esse valor aplicado nos custos unitários dos produtos separadamente para fins de estimativa de custo.</t>
  </si>
  <si>
    <t>* O fornecedor 03 ofertou 4,99999% de desconto sob o valor total; tendo sido esse valor aplicado nos custos unitários dos produtos separadamente para fins de estimativa de custo.</t>
  </si>
  <si>
    <t>* O fornecedor 02 ofertou 15% de desconto sob o valor total; tendo sido esse valor aplicado nos custos unitários dos produtos separadamente para fins de estimativa de custo.</t>
  </si>
  <si>
    <t xml:space="preserve">* O fornecedor 02 apresentou os custos do quadro e do barramento separadamente; O custo unitário apresentado considera a soma dos itens com códigos 2775, 928051 e 928056. </t>
  </si>
  <si>
    <t>RELUMAR ESQUADRIAS DE ALUMINIO E VIDRACARIA LTDA*</t>
  </si>
  <si>
    <t>* O fornecedor 03 apresentou os custos da porta e da bandeira separadamente; O custo unitário apresentado considera a soma dos itens com códigos FIXO100-CB e PG100-CB-ST.</t>
  </si>
  <si>
    <t>* O fornecedor 01 ofertou 15% de desconto sob o valor total; tendo sido esse valor aplicado nos custos unitários dos produtos separadamente para fins de estimativa de custo.</t>
  </si>
  <si>
    <t xml:space="preserve">ALÇAPÃO PARA FORRO DE GESSO ACARTONADO COM TAMPA METÁLICA - DIMENSÕES 50 CM X 50 CM </t>
  </si>
  <si>
    <t>* O fornecedor 01 ofertou 11,64 % de desconto sob o valor total; tendo sido esse valor aplicado nos custos unitários dos produtos separadamente para fins de estimativa de custo.</t>
  </si>
  <si>
    <t>GRUPO S2F - SOLUÇÕES CORPORATIVAS INTEGRADAS - ARMAZEM DA MANUTENÇÃO</t>
  </si>
  <si>
    <t>(14) 991149440</t>
  </si>
  <si>
    <t>TUBO PVC IRRIGAÇÃO PN60 3/4"</t>
  </si>
  <si>
    <t>UNIÃO REDUÇÃO 3/4" X 1/2" - POLIETILENO</t>
  </si>
  <si>
    <t>UNIÃO DE REDUÇÃO 3/4" X 1/2" (IRRIGAÇÃO) - POLIETILENO</t>
  </si>
  <si>
    <t>BICO GOTEJADOR AUTOCOMPENSANTE 2 L/H</t>
  </si>
  <si>
    <t>TEMPORIZADOR ELETRÔNICO DE IRRIGAÇÃO DE JARDIM COM CONEXÃO BLUETOOTH</t>
  </si>
  <si>
    <t>R &amp; R CORTINAS E DECORAÇOES LTDA</t>
  </si>
  <si>
    <t>(64) 3612-1789</t>
  </si>
  <si>
    <t>TOTEM EM ACM - CENTRO DE INOVAÇÃO, PESQUISA E PÓS-GRADUAÇÃO - DIMENSÕES: ALTURA = 271 CM ; COMPRIMENTO = 89 CM ; LARGURA = 20 CM</t>
  </si>
  <si>
    <t>abr/ 2023</t>
  </si>
  <si>
    <t>SUDECAP</t>
  </si>
  <si>
    <t>74.05.40</t>
  </si>
  <si>
    <t>PORTAL ELETRICO COMERCIAL DE MATERIAIS ELETRICOS LTDA.</t>
  </si>
  <si>
    <t>32.212.269/0001-28</t>
  </si>
  <si>
    <t>PL442U</t>
  </si>
  <si>
    <t>29/06</t>
  </si>
  <si>
    <t>jf53b3jg21</t>
  </si>
  <si>
    <t>AGROCAC INDUSTRIA, DISTRIBUIDORA E COMERCIO DE DEFENSIVOS E INSUMOS AGRICOLAS LTDA</t>
  </si>
  <si>
    <t>00.302.831/0001-18</t>
  </si>
  <si>
    <t>(16) 3667-0392</t>
  </si>
  <si>
    <t>LUMINÁRIA PLAFON DE SOBREPOR 30W - 40 CM X 40 CM</t>
  </si>
  <si>
    <t>REMOÇÃO DE PERFIS METÁLICOS DE ESTRUTURA DE TELHADO</t>
  </si>
  <si>
    <t>REFORMA DO BLOCO VII PARA IMPLANTAÇÃO DO CENTRO DE INOVAÇÃO, PESQUISA E PÓS GRADUAÇÃO DA UNIVERSIDADE DE RIO VERDE - CAMPUS RIO VERDE</t>
  </si>
  <si>
    <t>ESQUADRIAS METÁLICAS</t>
  </si>
  <si>
    <t>10.5</t>
  </si>
  <si>
    <t>10.6</t>
  </si>
  <si>
    <t>10.7</t>
  </si>
  <si>
    <t>PROLONGADOR PARA VIDRO AÇO INOX ESCOVADO</t>
  </si>
  <si>
    <t>ELSON MARTINS COSTA JUNIOR (SUL GOIANA VIDROS)</t>
  </si>
  <si>
    <t>bf2h6jb858</t>
  </si>
  <si>
    <t>FR MATERIAIS ELETRICOS LTDA (LINE MATERIAIS ELÉTRICOS)</t>
  </si>
  <si>
    <t>23.669.018/0001-86</t>
  </si>
  <si>
    <t>3998-7008</t>
  </si>
  <si>
    <t>cf8ddb204b</t>
  </si>
  <si>
    <t>30/06</t>
  </si>
  <si>
    <t>kc31j6b7cd</t>
  </si>
  <si>
    <t>NTF-125224006</t>
  </si>
  <si>
    <t>COTAÇÃO 60</t>
  </si>
  <si>
    <t>FECHO TRANQUETA PARA PORTA DE ALUMÍNIO</t>
  </si>
  <si>
    <t>COTAÇÃO 61</t>
  </si>
  <si>
    <t>INSULFILM BRANCO LEITOSO</t>
  </si>
  <si>
    <t>jc50913abd</t>
  </si>
  <si>
    <t>TACOLADO COMERCIO DE ARTIGOS DECORATIVOS LTDA</t>
  </si>
  <si>
    <t>30.213.832/0001-57</t>
  </si>
  <si>
    <t>(14) 99185-6850</t>
  </si>
  <si>
    <t>COBERTURA COM CHAPA DE POLICARBONATO ALVEOLAR TRANSPARENTE 10 MM COM ACESSÓRIOS - FORNECIMENTO E INSTALAÇÃO</t>
  </si>
  <si>
    <t>COBERTURA COM CHAPA DE POLICARBONATO ALVEOLAR TRANSPARENTE 10 MM COM ACESSÓRIOS - FORNECIMENTO E INSTALAÇÃO (INCLUSO ACESSÓRIOS)</t>
  </si>
  <si>
    <t xml:space="preserve">LOUSA DE VIDRO TEMPERADO 10 MM LEITOSO 120 CM X 300 CM </t>
  </si>
  <si>
    <r>
      <t xml:space="preserve">I. OBJETIVO </t>
    </r>
    <r>
      <rPr>
        <sz val="10"/>
        <rFont val="Arial"/>
        <family val="2"/>
      </rPr>
      <t xml:space="preserve">
O objetivo deste memorial descritivo é especificar os materiais e equipamentos e orientar a execução dos serviços relativos à reforma do Bloco VII para implantação do Centro de Inovação, Pesquisa e Pós Graduação da UniRV - Rio Verde-GO.
É propósito, também, deste memorial descritivo, complementar as informações contidas nos projetos, elaborar procedimentos e rotinas para a execução dos trabalhos, a fim de assegurar o cumprimento do cronograma físico-financeiro, a qualidade da execução, a racionalidade, economia e segurança, tanto dos usuários, como dos funcionários da empresa CONTRATADA.</t>
    </r>
  </si>
  <si>
    <t>2. A execução dos serviços far-se-á sob a fiscalização técnica do Departamento de Engenharia e Obras da UniRV de Rio Verde/GO, através de profissional (is) devidamente habilitado(s) e designado(s).
3. A presença da fiscalização na obra não diminuirá a responsabilidade da empresa CONTRATADA em quaisquer ocorrências, atos, erros ou omissões verificadas, no desenvolvimento dos trabalhos ou a ele relacionados.
4. Quando se fizer necessária à mudança nas especificações ou substituição de algum material por seu equivalente, por iniciativa da CONTRATADA, esta deverá apresentar solicitação escrita à fiscalização da obra, minuciosamente justificada.
5. A CONTRATADA deverá ter à frente dos serviços, responsável técnico, devidamente habilitado, além de ter encarregado de obras, que deverá permanecer no serviço durante todas as horas de trabalho, e pessoal especializado de comprovada competência.
6. A CONTRATADA empregará boa técnica na execução dos serviços com materiais de primeira qualidade, de acordo com o previsto no projeto e nas especificações.</t>
  </si>
  <si>
    <t>11. TODOS OS SERVIÇOS E RECOMPOSIÇÕES, NÃO EXPLÍCITOS NESTAS ESPECIFICAÇÕES BEM COMO NAS PLANTAS, MAS NECESSÁRIOS PARA A EXECUÇÃO DOS SERVIÇOS PROGRAMADOS E AOS PERFEITOS ACABAMENTOS DAS ÁREAS EXISTENTES DE FORMA QUE RESULTE NUM TODO ÚNICO E ACABADO, DEVERÁ SER DE RESPONSABILIDADE DA CONTRATADA.</t>
  </si>
  <si>
    <r>
      <t xml:space="preserve">A CONTRATADA deverá realizar a remoção da cobertura de fibrocimento da edificação principal e do mezanino da fachada. Também deverá ser removida a estrutura da cobertura do mezanino da fachada. O material retirado/demolido deverá ser disponibilizado para que o contratante avalie se reaproveitará o mesmo. O processo deverá ser realizado empregando boa técnica de forma a garantir que não haja a deterioração dos subsistemas adjacentes. Caso o material resultante da demolição não seja de interesse da Administração, este deverá ser devidamente descartado pela CONTRATADA. </t>
    </r>
    <r>
      <rPr>
        <b/>
        <sz val="10"/>
        <color rgb="FF010000"/>
        <rFont val="Arial"/>
        <family val="2"/>
      </rPr>
      <t xml:space="preserve">Apresentar o material para a Administração, para que a mesma verifique o interesse no reaproveitamento. </t>
    </r>
  </si>
  <si>
    <t>A CONTRATADA deverá retirar as janelas e/ou portais indicados em projeto arquitetônico. O material retirado deverá ser disponibilizado para que o contratante avalie se reaproveitará o mesmo. O processo deverá ser realizado empregando boa técnica de forma a garantir que não haja a deterioração dos subsistemas adjacentes. Caso o material resultante da demolição não seja de interesse da Administração, este deverá ser devidamente descartado pela CONTRATADA.</t>
  </si>
  <si>
    <t>A CONTRATADA deverá realizar a remoção do revestimento argamassado deteriorado do abrigo de hidrante externo. Esse procedimento deverá ser realizado com cautela e destreza de modo que não haja deterioração dos sistemas adjacentes assim como evitar a necessidade de possíveis retrabalhos de segunda ordem, de procedência descessária e não previstos incialmente.</t>
  </si>
  <si>
    <t>A CONTRATADA deverá realizar a demolição manual das alvenarias compostas por tijolos nos locais indicados, conforme projeto arquitetônico. Esse procedimento deverá ser realizado com cautela e destreza de modo que não haja deterioração dos sistemas adjacentes assim como evitar a necessidade de possíveis retrabalhos de segunda ordem e de procedência descessária e não previstos incialmente, como: avarias em paredes que não irão sofrer alterações, execesso de vibrações que possam ocasionar em fissuras em demais elementos, etc.</t>
  </si>
  <si>
    <t>A CONTRATADA deverá realizar a demolição manual de armários locados conforme projeto arquitetônico. Da mesma forma, deverão ser feitos cortes no piso para embutir instalações elétricas e nas calçadas externas, demolição para posterior correção de irregularidades, tais como trincas e rachaduras. Esse procedimento deverá ser realizado com cautela de modo que não haja deterioração de demais elementos, assim como evitar a necessidade de possíveis retrabalhos de segunda ordem, de procedência descessária e não previstos incialmente, como: avarias em paredes que não irão sofrer alterações, execesso de vibrações que possam ocasionar em fissuras em demais elementos, etc.</t>
  </si>
  <si>
    <t>A CONTRATADA deverá realizar a demolição da laje pré-moldada da marquise da fachada; bem como os elementos de concreto do assento do canteiro centra localizado no interior do Bloco. Esse procedimento deverá ser realizado com cautela e destreza de modo que não haja deterioração dos sistemas adjacentes assim como evitar a necessidade de possíveis retrabalhos de segunda ordem, de procedência descessária e não previstos incialmente.</t>
  </si>
  <si>
    <t>A CONTRATADA deverá realizar a demolição da viga presente na marquise da fachada. Esse procedimento deverá ser realizado com cautela e destreza de modo que não haja deterioração dos sistemas adjacentes assim como evitar a necessidade de possíveis retrabalhos de segunda ordem, de procedência descessária e não previstos incialmente.</t>
  </si>
  <si>
    <t>A CONTRATADA deverá retirar ou demolir as bancadas existentes no Depósito, empregando boa técnica de forma a garantir que não haja deterioração dos subsistemas adjacentes existentes. O material retirado/demolido deverá ser disponibilizado para que o contratante avalie o aproveitamento do mesmo. Caso não seja de interesse da CONTRATANTE, os materiais deverão ser adequadamente descartados pela CONTRATADA.</t>
  </si>
  <si>
    <t>A CONTRATADA deverá retirar e/ou realizar a substituição de torneiras, válvulas de descarga, sifões e outros metais sanitários dos banheiros citados no memorial de cálculo. O material retirado/demolido deverá ser disponibilizado para que o contratante avalie se reaproveitará o mesmo. Caso o material resultante não seja de interesse da Administração, este deverá ser devidamente descartado pela CONTRATADA em caçamba estacionária.</t>
  </si>
  <si>
    <t>A CONTRATADA deverá realizar a remoção de todo o forro de PVC do Bloco VII, inclusive estrutura de sustentação. Os resíduos gerados a partir do processo deverão ser encaminhados para caçamba estacionária para posteriormente ser feito o descarte adequado do material. É de responsabilidade da CONTRATADA o adequado descarte do material.</t>
  </si>
  <si>
    <t>A CONTRATADA deverá realizar a retirada das calhas existentes para posteriormente ser feita a troca, conforme indicação em projeto. O processo deverá ser realizado empregando boa técnica de forma a garantir que não haja deterioração dos subsistemas adjacentes.</t>
  </si>
  <si>
    <t>A CONTRATADA será responsável pela correção dos drenos de ar condicionado do Centro Acadêmico e Sala 06. O processo deverá ser realizado empregando boa técnica de forma a garantir a ausência de danos aos demais elementos do sistema. Os trechos de tubulação danificados, isto é, que apresentam vazamentos, deverão ser seccionados para substituição por novos tubos.</t>
  </si>
  <si>
    <t>A CONTRATADA deverá realizar a remoção de todas as instalações elétricas aparentes (exceto as instalações elétricas de alimentação do rack), luminárias e demais instalações presentes nos elementos de vedação que serão demolidos. O procedimento deverá ser realizado empregando boa técnica de forma a garantir que não haja deterioração dos subsistemas adjacentes. Todos os itens resultantes do processo de remoção das instalações elétricas deverão ser apresentados previamente para a FISCALIZAÇÃO para fins de reaproveitamento dos materiais. Caso o material resultante da demolição não seja de interesse da Administração, este deverá ser devidamente descartado pela CONTRATADA em local adequado.</t>
  </si>
  <si>
    <t>A CONTRATADA deverá fornecer ferramentas para todos os funcionários de forma adequada para cada serviço a ser executado. Todos os serviços deverão ser realizados em conformidade com as normas técnicas de segurança atualizadas.</t>
  </si>
  <si>
    <t>A CONTRATADA deverá realizar a remoção de toda a vegetação do canteiro interno central (região que será demolida), bem como deverá remover as cascas de pinus existentes nos canteiros na região interna localizados nos átrios, para posteriormente serem cultivadas as mudas previstas de acordo com a sua espécie. Todo material resultante do processo de remoção deverão ser apresentados previamente para a FISCALIZAÇÃO para fins de reaproveitamento dos materiais. Caso o material resultante não seja de interesse da Administração, este deverá ser devidamente descartado pela CONTRATADA em local adequado.</t>
  </si>
  <si>
    <t>Deverá ser fixada placa identificadora em local preferencialmente frontal à obra, de maneira a não interromper o trânsito de operários e materiais. A placa deverá conter os dados principais da obra (área construída, custo, construtor, engenheiro responsável, etc.), ser confeccionada de acordo com modelo a ser fornecido pela Universidade de Rio Verde, em chapa metálica galvanizada; ter dimensões mínimas de 2,00 m x 1,50 m; ser estruturada em peças de madeira forte com bitola de 4” x 1.1/2”; ter como suporte peças em madeira forte com bitola de 4” x 4”; e ter sua parte inferior com altura mínima de 2,20 m em relação ao solo.</t>
  </si>
  <si>
    <t>A CONTRATADA deverá, segundo as leis do trabalho com respaldo garantido através da consolidação das leis trabalhistas, executar os programas de prevenção de acidentes, assim como fornecer todos os equipamentos de prevenção de acidentes para os funcionários que participarão da obra em questão.</t>
  </si>
  <si>
    <t>A CONTRATADA deverá realizar a remoção dos quadros fórmicos instalados nas salas de aula, assim como dos aparelhos de ar condicionados (indicados no memorial de cálculo), acessórios presentes nos banheiros e demais itens que se fizerem necessários. O processo deverá ser realizado empregando boa técnica de forma a garantir que não haja deterioração ou quebra dos elementos durante o desmonte. Os aparelhos de ar condicionado a serem reposicionados deverão ser adequadamente armazenados; àqueles que não tem previsão de serem reinstalados, deverão ser entregues à Administração.</t>
  </si>
  <si>
    <t>A CONTRATADA deverá retirar as terças demarcadas conforme projeto estrutural. A mesma deverá realizar o corte das peças empregando boa técnica de forma a garantir que não haja deterioração dos subsistemas adjacentes e nem comprometimento do elemento. O material retirado deverá ser devidamente reutilizado nos locais previstos em projeto.</t>
  </si>
  <si>
    <t>Alguns ambientes que serão modificados durante a obra necessitarão de remoção de peitoris de janelas, os elementos que derevão ser removidos constam em projetos fornecidos. Da mesma forma, deverão ser retirados rodapé em áreas específicas. O processo deverá ser realizado empregando boa técnica de forma a garantir que não haja deterioração ou quebra dos elementos durante sua retirada.</t>
  </si>
  <si>
    <t>A CONTRATADA deverá realizar a remoção do exaustor existente no depósit. A mesma deverá realizar a retirada empregando boa técnica de forma a garantir que não haja deterioração dos subsistemas adjacentes e nem comprometimento do elemento. Itens retirados deverão ser disponibilizados para que o contratante avalie o reaproveitamento do mesmo.</t>
  </si>
  <si>
    <t>A CONTRATADA deverá realizar a demolição manual da alvenaria de blocos de concreto do canteiro central. Esse procedimento deverá ser realizado com cautela de modo que não haja a deterioração dos sistemas adjacentes e de modo a permitir a menor necessidade possível de retrabalhos.</t>
  </si>
  <si>
    <t>A CONTRATADA deverá realizar a remoção de portas e janelas nos locais indicados em projeto. Itens correlatos, como fechaduras, também deverão ser retirados. Esse procedimento deverá ser realizado com cautela de modo que não haja a deterioração dos sistemas adjacentes e de modo a permitir o REAPROVEITAMENTO das portas e janelas nos locais indicados no memorial de cálculo. A CONTRATADA será responsável pela substituição das fechaduras de todas as portas.</t>
  </si>
  <si>
    <t>Os aparelhos de projeção de imagem instalados nas salas deverão ser removidos previamente antes do início da obra para que não haja o comprometimento de seu funcionamento. Tais itens deverão ser entregues em estado de funcionamento à FISCALIZAÇÃO para que sejam guardados adequadamente.</t>
  </si>
  <si>
    <t>O totem de identificação do bloco deverá ser removido através do emprego de boa técnica. Todo material resultante do processo de remoção deverão ser apresentado previamente para a FISCALIZAÇÃO para fins de reaproveitamento dos materiais. Caso o material resultante não seja de interesse da Administração, este deverá ser devidamente descartado pela CONTRATADA em local adequado.</t>
  </si>
  <si>
    <t>A CONTRATADA deverá transportar os materiais considerados inaproveitáveis, oriundos das demolições ou da limpeza dos canteiros, para caçambas estacionadas no local da obra e transportados por veículos adequados. É de inteira responsabilidade da CONTRATADA a retirada e correta disposição dos resíduos conforme a legislação vigentente empregada.</t>
  </si>
  <si>
    <t xml:space="preserve">A CONTRATADA é responsável por toda mobilização e desmobilização de equipamentos, ferramentas e outros itens necessários para execução da obra. </t>
  </si>
  <si>
    <t>A CONTRATADA é responsável pela organização do canteiro de obras, logística, armazenamento e proteção dos materiais a serem utilizados.</t>
  </si>
  <si>
    <t xml:space="preserve">A CONTRATADA deverá escavar valas para passagem de instalações elétricas embutidas no piso. O processo deverá ser realizado empregando boa técnica de forma a garantir que não haja deterioração dos subsistemas adjacentes. Também é de responsabilidade da CONTRATADA a realização do apiloamento mecânico do solo em todos os locais que o mesmo receberá revestimento (calçadas externas, piso interno, etc). </t>
  </si>
  <si>
    <t>A CONTRATADA deverá escavar valas para passagem dos tubos de quedas incluídos para as suas respetivas caixas de areia. O processo deverá ser realizado empregando boa técnica de forma a garantir que não haja deterioração dos subsistemas adjacentes.</t>
  </si>
  <si>
    <t xml:space="preserve">Em função da modificação dos espaços e abertura de novas portas, a CONTRATADA deverá executar verga sobre a porta de Coordenação 2 em local demarcado em projeto. A execução do concreto obedecerá rigorosamente às normas técnicas da ABNT que regem o assunto, isto é, a NBR-6118, a NBR-6120, a NBR-7480. </t>
  </si>
  <si>
    <t>Todos os andaimes devem ser projetados para resistir às solicitações a que estarão submetidos. Todos os andaimes devem ter dispositivos de segurança apropriados ao tipo de trabalho a ser executado. Todo o equipamento utilizado deve ser de boa qualidade e encontrar-se em bom estado de uso. Deve atender às normas brasileiras (NBR 6494). O uso de EPIs torna-se, portanto, indispensável e de uso obrigatório sob quaisquer circustância.</t>
  </si>
  <si>
    <r>
      <t xml:space="preserve">Todos os sub-itens desse item obedecerão ao mesmo critério na execução do projeto elétrico, seguindo as normas da ABNT que regem tais serviços. A empresa CONTRATADA deverá executar as instalações elétricas, telefonia e lógica de modo a tornar o sistema completo, sem falhas ou omissões que venham a prejudicar seu perfeito funcionamento. Todas as luminárias, lâmpadas, tomadas, deverão ser testadas antes da entrega definitiva da obra. Todos os equipamentos e materiais fornecidos, bem como a execução das instalações, deverão estar de acordo com os requisitos das normas e códigos em vigor.  As instalações elétricas serão feitas com fios, com dimensões conforme projeto elétrico. Os materiais empregados deverão ser de primeira qualidade, novos, para garantir a durabilidade e segurança. </t>
    </r>
    <r>
      <rPr>
        <b/>
        <sz val="10"/>
        <color rgb="FF010000"/>
        <rFont val="Arial"/>
        <family val="2"/>
      </rPr>
      <t xml:space="preserve">Os serviços deverão ser executados em conformidade com o memoriail descritivo do respectivo projeto.
</t>
    </r>
  </si>
  <si>
    <t>Todos os sub-itens desse item obedecerão ao mesmo critério na execução do projeto hidrossanitário, seguindo as normas da ABNT. A CONTRATADA deverá instalar os equipamentos e materiais de modo a tornar o sistema completo, sem falhas ou omissões que venham a prejudicar seu perfeito funcionamento. Todos os equipamentos deverão ser testados antes da entrega definitiva da obra. Todos os equipamentos e materiais fornecidos, bem como a execução das instalações, deverão estar de acordo com os requisitos das normas e códigos em vigor.</t>
  </si>
  <si>
    <t>De acordo com a definição apresentada nos Projetos Arquitetônicos deverá ser executado alvenaria em tijolo furado em 1/2 vez e 1 vez. Estes deverão ser assentados com faces planas, perfeitamente nivelados e aprumados com juntas de espessura média igual a 12mm. Os tijolos serão de procedência conhecida e idônea, bem cozidos, compactos e suficientemente duros para o fim a que se destinam.
A argamassa utilizada deverá atender aos parâmetros de resistência, trabalhabilidade e durabilidade prescrito na ABNT NBR 13279, ABNT NBR 13281 e demais normas de apoio que se fizerem necessárias.</t>
  </si>
  <si>
    <t>De acordo com a definição apresentada nos Projetos Arquitetônicos, deverão ser executadas paredes com placa de gesso acartonado nas divisórias internas da edificação nos locais onde se fizeram necessárias modificações de layout. As placas de gesso acartonado deverão ser de procedência conhecida e idônea. Os montantes e guias a serem utilizados deverão ser correspondentes aos insumos apresentados nas respectivas composições. O procedimento deverá ser realizado empregando-se boa técnica, de forma a garantir a estabilidade e durabilidade do sistema.</t>
  </si>
  <si>
    <t>Os peitoris deverão ser em granito com 15cm de largura e comprimento de acordo com as necessidades de projeto. A CONTRATADA deverá executar todos os peitoris em granito corumbá impermeabilizado com aplicação em argamassa de revestimento. Os mesmos serão executados por profissionais especializados, fazendo o uso de pedras selecionadas. Vale ressaltar, portanto, que não será tolerado o assentamento de peças rachadas, emendadas, com retoques visíveis de massa, capazes de comprometer seu aspecto, durabilidade e resistência, ou com outros defeitos. As amostras serão previamente submetidas à aprovação da FISCALIZAÇÃO para conferência da qualidade do elemento.
A argamassa para assentamento das peças deverá ser em traço 1:6 (cimento: areia) e com adição de aditivo impermeabilizante para garantir a estanqueidade do sistema após sua aplicação. Todo o processo de manipulação e aplicação da argamassa e assentamento das peças deverá seguir as recomendações da ABNT conforme normas vigentes. Todos os produtos industrializados a serem utilizados nesta etapa de serviço deverão ser de marca reconhecidamente aceita no mercado como de boa qualidade.</t>
  </si>
  <si>
    <t xml:space="preserve">A CONTRATADA é responsável pela execução de uma nova cobertura para fechamento da região dos átrios em conformidade com o projeto estrutural fornecido. A CONTRATADA deverá executar a estrutura metálica com boa técnica, utilizando soldas de qualidade e pintando a estrutura com fundo anticorrosivo. </t>
  </si>
  <si>
    <t>A CONTRATADA é responsável pela execução de uma nova cobertura para fechamento da região dos átrios, bem como pela realização do reforço da cobertura existente. A CONTRATADA deverá executar a estrutura metálica com boa técnica, utilizando soldas de qualidade e pintando a estrutura com fundo anticorrosivo.</t>
  </si>
  <si>
    <t>A CONTRATADA é responsável pela execução do reforço da cobertura existente, conforme projeto apresentado. As terças retiradas deverão ser reposicionadas. A CONTRATADA deverá executar a estrutura metálica com boa técnica, utilizando soldas de qualidade e pintando a estrutura com fundo anticorrosivo.</t>
  </si>
  <si>
    <t xml:space="preserve">A CONTRATADA é responsável pela realização de uma nova cobertura na região dos átrios. Conforme especificado no projeto estrutural, a CONTRATADA deverá realizar o seccionamento dos blocos cerâmicos para instalação dos chumbadores, os quais serão os elementos de fixação da nova estrutura metálica com a estrutura existente. Os chumbadores deverão ser posicionados no interior dos blocos cerâmicos, os quais deverão ser posteriormente grauteados a fim de garantir a amarração entre os elementos. Posteriormente faz-se necessária a regularização da superfície para posterior instalação de chapa de base. O procedimento executivo apresenta-se detalhado no projeto de estrutura metálica "nova cobertura". 
</t>
  </si>
  <si>
    <t xml:space="preserve">A CONTRATADA deverá executar as calhas e rufos em chapa 26 galvanizada na cobertura e também no avanço do ACM da fachada, conforme indicado em projeto a localização e o detalhe. As calhas e rufos não deverão apresentar empenamentos, deflexões ou distorções que venham prejudicar o encaixe. O processo deverá ser realizado empregando boa técnica de forma a garantir que não haja deterioração dos subsistemas adjacentes. </t>
  </si>
  <si>
    <t>COBERTURA COM CHAPA DE POLICARBONATO ALVEOLAR TRANSPARENTE 6 MM COM ACESSÓRIOS - FORNECIMENTO E INSTALAÇÃO (INCLUSO ACESSÓRIOS)</t>
  </si>
  <si>
    <t>A CONTRATADA deverá executar a substituição das telhas existentes do prédio por telhas em chapa galvanizada trapezoidal. Algumas áreas serão contempladas com telhas de policarbonato alveolar de 10 mm de espessura. Ambas as peças não deverão apresentar empenamentos, deflexões, trincas, rachaduras ou distorções que venham prejudicar o encaixe. O processo deverá ser realizado empregando boa técnica de forma a garantir que não haja deterioração do próprio sistema e de sistemas adjacentes.</t>
  </si>
  <si>
    <t>As esquadrias em alumínio deverão ser de primeira qualidade, deve estar em bom funcionamento não podendo apresentar defeitos. As barras e perfis não deverão apresentar empenamentos, defeitos de superfície ou outras quaisquer falhas, devendo ter seções que satisfaçam, por um lado, ao coeficiente de resistência adquirido, e atendam, por outro lado, ao efeito estético dos detalhes apresentados. Deverão ser executadas com as dimensões prescritas no projeto arquitetônico.</t>
  </si>
  <si>
    <t xml:space="preserve">A CONTRATADA deverá executar chapisco em todas as superfícies de paredes destinadas a receberem reboco liso ou emboço para assentamento de revestimento cerâmico; deverão ser chapiscadas com argamassa pastosa executada no traço volumétrico de 1:4 (cimento Portland e areia peneirada com granulometria média), aplicada com a utilização de uma colher (espátula) de pedreiro.
As paredes deverão ser adequadamente limpadas e umedecidas (sem saturação), antes do início do chapisco. A aplicação do chapisco deverá ser de baixo para cima em todos os parâmetros verticais interno e externo das alvenarias e estruturas, seguindo as recomendações de execução da ABNT NBR 7200 e ABNT NBR 13529. A boa execução do chapisco contribuirá para melhorias na aderência nas camadas subsequentes de revestimento que serão aplicadas nas alvenarias.
</t>
  </si>
  <si>
    <t>A CONTRATADA deverá fazer o rasgo na alvenaria para embutir condutores rede elétrica, hidrossanitários e drenos de ar condicionado com a utilização de serra circular, assim embutir deverá ser executado o enchimento dos rasgos.</t>
  </si>
  <si>
    <t>A CONTRATADA deverá executar reboco em todas as superfícies de paredes (internas e externas), em alvenaria de tijolo de barro cozido destinadas a receberem revestimento final em pintura de qualquer natureza; deverão, após o chapisco, ser rebocadas com uma camada de argamassa com espessura média de 0,5 cm. O acabamento dessa camada será liso (desempenado, sarrafeado à régua, alisado e esponjado).</t>
  </si>
  <si>
    <t>Alguns ambientes devidamente informados no memorial de cálculo deverão conter tela metálica no revestimento argamassado em virtude do fechamento de vãos onde inicialmente tinham portas e/ou janelas. O material da tela deverá ser de primeira qualidade e o serviço executado em boa técnica.</t>
  </si>
  <si>
    <t>A CONTRATADA deverá instalar forro em gesso acartonado, nos locais indicadas em Projeto Arquitetônico, na cor branca com 12,5 mm de espessura. A estrutura de fixação do forro deverá ser perfeitamente nivelada, evitando ondulações. O encaixe entre as chapas não deverá apresentar defeitos.
As placas serão colocadas em estrutura auxiliar de arame. Todos os ambientes que receberão forro, receberão tabicas.</t>
  </si>
  <si>
    <t>A CONTRATADA deverá executar os pisos de forma que sejam atendidos aos traços determinados e espessuras solicitadas no orçamento. Deverão ser executados em conformidade com as necessidades de projeto, atentando aos detalhes construtivos de cada local. A CONTRATADA deverá assegurar a durabilidade dos pisos de forma que não apresentem erros de execução, retração ou qualquer inconformidade que fuja da qualidade esperada. O concreto deverá apresentar resistente e de acordo com o fim a que se destina. Faz-se necessário o emprego de boa técnica, tendo como objetivo a obtenção de um sistema monolítico, com ausência de fissuras.</t>
  </si>
  <si>
    <t>A CONTRATADA deverá executar soleira em granito impermeabilizado cinza corumbá em todas as áreas indicadas no projeto arquitetônico. A área que receberá a pedra deverá estar plana, sem apresentar brocas ou desníveis que possam comprometer sua funcionalidade ou aparência. O granito deverá ser de primeira qualidade, dosado em conformidade para o fim a que se destina. Nas áreas indicadas será executado rodapé com altura de 7cm perfeitamente nivelado e em conformidade com o aspecto esperado.</t>
  </si>
  <si>
    <t xml:space="preserve">A CONTRATADA deverá executar rodapé vinílico nos locais em que é previsto a execução de piso vinílico. </t>
  </si>
  <si>
    <t xml:space="preserve">A CONTRATADA deverá executar o piso em granitina e rodapé em todas as áreas indicadas no projeto arquitetônico. A área que receberá o piso deverá estar plana, sem apresentar brocas. A granitina deverá ser de primeira qualidade, em placas com juntas dilatação de 27mm. Todos os produtos industrializados a serem utilizados nesta etapa de serviço deverão ser de marca, reconhecidamente, aceita no mercado como de boa qualidade. Nas mesmas áreas será executado rodapé em granitina com altura de 7 cm. </t>
  </si>
  <si>
    <t>A CONTRATADA deverá executar a raspagem e posteriormente a aplicação de resina acrílica com duas demãos em todo piso de granitina.</t>
  </si>
  <si>
    <t>Nas salas de Coworking, SRs e empresa Ancora a CONTRATADA deverá executar a raspagem do piso para remoção da resina, e posteriormente a aplicação de piso vinílico em placas em toda a extensão de piso. O procedimento deve ser realizado de forma a garantir a obtenção de uma superfície áspera, adequada para a aderência das camadas subsequentes (regularização com argamassa autonivelante e piso vinílico).</t>
  </si>
  <si>
    <t>Nas salas de Coworking, SRs e empresa Ancora a CONTRATADA deverá ser executado piso vinílico em placas em toda a extensão de piso. Posteriormente a limpeza da superfície, deve ser aplicada a regularização. O traço da argamassa de regularização deverá estar em concordância com as prescrições do fabricante. A argamassa deverá ser espalhada uniformemente na superfície e disposta a 2cm de espessura, deve ser sarrafeada e desempenada com desempenadeira de madeira, a fim de obter um acabamento uniforme e compacto, levemente áspero. Após o processo, deverá ser assentado o piso vinílico.</t>
  </si>
  <si>
    <t>A CONTRATADA deverá realizar a substituição das fechaduras indicadas no memorial de cálculo, nas quais constam defeitos, mal desempenho e/ou peças faltantes. As peças deverão ser possuir característica semelhante às fechaduras já existentes para fins de padronização. Todas as peças deverão ser de boa qualidade, de marca aprovada no mercado e serem instalados com boa técnica de forma a garantir que não haja deterioração da porta/janela no momento da instalação.</t>
  </si>
  <si>
    <t>A CONTRATADA deverá manter no andamento da obra um engenheiro civil e um mestre de obras de comprovada experiência em obra civil, sendo o engenheiro civil por 4 (quatro) meses e jornada de trabalho de 2 horas/dia. Além de um mestre de obras com comprovada experiência em obra civil por 4 (quatro) meses de obra e jornada de trabalho de 8 horas/dia.</t>
  </si>
  <si>
    <t>A CONTRATADA deverá pintar todos os novos elementos metálicos com tinta esmalte alquídica para proteção da estrutura. Deve ser verificada se a superfície a ser pintada está limpa (poeira, argamassa, etc.), se não estiverem, antes de pintar, limpar. O item será executado em boa técnica e com tinta de primeira qualidade.</t>
  </si>
  <si>
    <t>A CONTRATADA deverá pintar a superfície da parede que receberá a parede verde para fins de impermeabilização. Deve ser verificado se a superfície a ser pintada está limpa (poeira, argamassa, etc.); se não estiverem, antes de pintar limpar. O item será executado em boa técnica e com tinta de primeira qualidade.  As cores serão definidas pela FISCALIZAÇÃO de obras em conjunto com a reitoria, sendo a CONTRATADA informada dentro dos prazos estabelecidos.</t>
  </si>
  <si>
    <t>A CONTRATADA é responsável pela limpeza final de obra. Todas as instalações deverão estar em perfeitas condições de funcionamento, bem como todas as peças e serviço.</t>
  </si>
  <si>
    <t>A CONTRATADA deverá fixar placa de inauguração ao final da obra confeccionada em aço escovado, com dimensões de 60 x 120 cm. O item será executado com material de primeira qualidade e o modelo deverá ser previamente submetido à aprovação da FISCALIZAÇÃO.</t>
  </si>
  <si>
    <t>Será atribuição da CONTRATADA fornecer café da manhã diariamente para os funcionários que estiverem em canteiro de obras.</t>
  </si>
  <si>
    <t>Será atribuição da CONTRATADA fornecer almoço de qualidade diariamente para os funcionários que estarão em serviço no canteiro de obras.</t>
  </si>
  <si>
    <t>As mesas, cadeiras e demais itens de uso corriqueiro que sejam patrimônio da UniRV deverão ser remanejados conforme a necessidade da obra. Os mesmos deverão ser dispostos nos locais indicados pela FISCALIZAÇÃO e armazenados de maneira cuidadosa, visando a garantia de que não sejam contraídos danos à sua integridade provenientes do deslocamento dos itens. Após conclusão, os materiais removidos deverão retornar para os locais de origem ou para um novo destino indicado pela FISCALIZAÇÃO.</t>
  </si>
  <si>
    <t>A CONTRATADA deverá fixar placas de identificação dos ambientes, conforme indicado em projetos e memoriais. O item será executado com material de primeira qualidade e o modelo deverá ser previamente submetido à aprovação da FISCALIZAÇÃO.</t>
  </si>
  <si>
    <t>A CONTRATADA é responsável pela fixação de molas hidráulicas nas portas indicadas no memorial de cálculo. O sistema deverá ser de primeira qualidade, sem defeitos de instalação e entregue em perfeito funcionamento.</t>
  </si>
  <si>
    <t>A CONTRATADA devererá instalar alçapões no forro de gesso acartonado. Os alcações deverão ter dimensões de 0,50 m x 0,50m. O alçapão não deverão apresentar empenamentos, deflexões ou distorções que venham prejudicar o encaixe. O processo deverá ser realizado empregando boa técnica de forma a garantir que não haja deterioração dos subsistemas adjacentes.</t>
  </si>
  <si>
    <t xml:space="preserve">A CONTRATADA será responsável pela instalação de placas de sinalização contra incendio em substituição às placas existentes. As placas deverão estar em conformidade com as normas técnicas da CBMGO. </t>
  </si>
  <si>
    <t>Deverá ser colocado nas bordas dos canteiros compostos por forrações de acordo com  a representação gráfica em projeto de paisagismo. Deve-se abrir um pequeno sulco nas bordas do canteiro e fixar o limitador de grama com altura limitada à borda do mesmo.</t>
  </si>
  <si>
    <t>As mudas de árvores ornamentais devem ser plantadas de acordo com a localização determinada no projeto paisagístico apresentado. A abertura das covas deve ser feita em tamanho 60 x 60 x 60cm. Deve-se utilizar substrato comercial, calcário, adubo mineral NPK 10-10-10 e adubo orgânico nas quantidades especificadas nesta composição, sendo que o preenchimento das covas deve ser feito com a mistura homogênea desses materiais ao solo. Se as mudas forem provenientes de transplantio da área de produção, estas devem ser rigorosamente tratadas, considerando todo o período de adaptação das mesmas bem como os tratos culturais necessários para a boa adaptação e desenvolvimento no novo local de plantio. Depois de plantadas, se necessário, deve-se considerar o estaqueamento adequado das mesmas a fim de se evitar o tombamento.</t>
  </si>
  <si>
    <t>A contratada deverá preparar o solo a uma profundidade de 30 cm. O preparo deve envolver a remoção de plantas invasoras, e as operações de revolvimento do solo e incorporação de substrato, calcário, adubo mineral NPK 10-10-10 e adubo orgânico nas quantidades especificadas nesta composição. O espaçamento de plantio deve ser de 15 x 15cm.</t>
  </si>
  <si>
    <t xml:space="preserve">LOUSA DE VIDRO TEMPERADO LEITOSO 120 CM X 600 CM </t>
  </si>
  <si>
    <t>A CONTRATADA deverá realizar a substituição de lousas conforme indicado em projeto por lousas de vidro temperado leitoso.  O processo deverá ser realizado empregando boa técnica de forma a garantir que não haja deterioração dos subsistemas adjacentes.</t>
  </si>
  <si>
    <t>Deverão ser reinstalados aparelhos de ar condicionado conforme indicado no memorial de cálculo. Os itens já existentes deverão ser instalados de maneira adequada conforme a potência descrita em projeto nos ambientes a que se destinam.</t>
  </si>
  <si>
    <t xml:space="preserve">Deverão ser instalados aparelhos de ar condicionado conforme indicado no memorial de cálculo. Os aparelhos deverão ser Split on/off, com especificação de potência indicada e de primeira qualidade. </t>
  </si>
  <si>
    <t>As esquadrias de vidro deverão ser de primeira qualidade e atender aos parâmetros normativos de segurança. Deverão ser fabricados e montados de acordo com medidas apresentadas no projeto e memoriais, inclusive tipo e espessura do vidro. As placas de vidro não deverão apresentar defeitos de corte (beiradas lascadas, pontas salientes, cantos, quebrados, corte em bisel), e nem apresentar folga excessiva com relação ao requadro de encaixe (de 3 a 5 mm conforme o vão).</t>
  </si>
  <si>
    <t>18.08</t>
  </si>
  <si>
    <t>18.09</t>
  </si>
  <si>
    <t xml:space="preserve">A CONTRATADA deverá executar fachada em ACM conforme detalhamento apresentado no projeto arquitetônico. O item será executado com material e mão de obra de primeira qualidade. O serviço consiste na instalação fachada em ACM inclusa estrutura de sustentação. A CONTRATADA também é responsável pela instalação dos elementos de identificação da construção (letras em caixa alta e toten), bem como pelo brasão e logo da Instituição. </t>
  </si>
  <si>
    <t>Deverão ser instalados aparelhos de ar condicionado conforme informação apresentada no memorial de cálculo. Os aparelhos deverão ser Split on/off, com especificação de potência indicada em projeto e de primeira qualidade para itens novo. Os itens deverão ser instalados de maneira adequada conforme a potência descrita em projeto nos ambientes a que se destinam.</t>
  </si>
  <si>
    <t>A CONTRATADA deverá instalar persianas rolo em tecido blackout em todas as janelas / ambientes indicados no memorial de cálculo. A execução deverá ser realizada utilizando boa técnica e empregando material de primeira qualidade.</t>
  </si>
  <si>
    <t>FECHADURA DE EMBUTIR PARA PORTAS INTERNAS, COMPLETA, ACABAMENTO PADRÃO POPULAR, COM EXECUÇÃO DE FURO - FORNECIMENTO E INSTALAÇÃO. AF_12/2019 // FECHADURA ESPELHO PARA PORTA INTERNA, EM ACO INOX (MAQUINA, TESTA E CONTRA-TESTA) E EM ZAMAC (MACANETA, LINGUETA E TRINCOS) COM ACABAMENTO CROMADO, MAQUINA DE 40 MM, INCLUINDO CHAVE TIPO INTERNA</t>
  </si>
  <si>
    <t>CRONOGRAMA FÍSICO FINANCEIRO</t>
  </si>
  <si>
    <t>GOINFRA - AGÊNCIA GOIANA DE INFRAESTRUTURA E TRANSPORTES</t>
  </si>
  <si>
    <t>VALOR DA OBRA</t>
  </si>
  <si>
    <t>BDI EDIFICAÇÃO</t>
  </si>
  <si>
    <t>BDI DIFERENCIADO</t>
  </si>
  <si>
    <t>SINAPI - SISTEMA NACIONAL DE PESQUISA DE CUSTOS E ÍNDICES DA CONSTRUÇÃO CIVIL (LOCALIDADE: GOIÂNIA)</t>
  </si>
  <si>
    <t>TOTAL POR ETAPA</t>
  </si>
  <si>
    <t>MÊS 01</t>
  </si>
  <si>
    <t>MÊS 02</t>
  </si>
  <si>
    <t>MÊS 03</t>
  </si>
  <si>
    <t>MÊS 04</t>
  </si>
  <si>
    <t xml:space="preserve"> 1 </t>
  </si>
  <si>
    <t xml:space="preserve"> 2</t>
  </si>
  <si>
    <t xml:space="preserve"> 3</t>
  </si>
  <si>
    <t>SERVIÇOS EM TERRA</t>
  </si>
  <si>
    <t/>
  </si>
  <si>
    <t xml:space="preserve"> 4</t>
  </si>
  <si>
    <t xml:space="preserve"> 5</t>
  </si>
  <si>
    <t xml:space="preserve"> 6</t>
  </si>
  <si>
    <t xml:space="preserve"> 7</t>
  </si>
  <si>
    <t xml:space="preserve"> 8</t>
  </si>
  <si>
    <t xml:space="preserve"> 9</t>
  </si>
  <si>
    <t xml:space="preserve"> 10</t>
  </si>
  <si>
    <t xml:space="preserve"> 11</t>
  </si>
  <si>
    <t>REVESTIMENTO DE PAREDE</t>
  </si>
  <si>
    <t xml:space="preserve"> 12</t>
  </si>
  <si>
    <t xml:space="preserve"> 13</t>
  </si>
  <si>
    <t>REVESTIMENTO DE PISOS</t>
  </si>
  <si>
    <t xml:space="preserve"> 14</t>
  </si>
  <si>
    <t xml:space="preserve"> 15</t>
  </si>
  <si>
    <t xml:space="preserve"> 16</t>
  </si>
  <si>
    <t xml:space="preserve"> 17</t>
  </si>
  <si>
    <t xml:space="preserve"> 18</t>
  </si>
  <si>
    <t>DIVERSOS - BDI DIFERENCIADO</t>
  </si>
  <si>
    <t>Porcentagem Mensal</t>
  </si>
  <si>
    <t>Custo Mensal</t>
  </si>
  <si>
    <t>Porcentagem Acumulado</t>
  </si>
  <si>
    <t>Custo Acumulado</t>
  </si>
  <si>
    <t>(19) 98915-7056</t>
  </si>
  <si>
    <t>* O fornecedor 01 ofertou 5 % de desconto sob o valor total; tendo sido esse valor aplicado nos custos unitários dos produtos separadamente para fins de estimativa de custo.</t>
  </si>
  <si>
    <t>* O fornecedor 02 ofertou 5 % de desconto sob o valor total; tendo sido esse valor aplicado nos custos unitários dos produtos separadamente para fins de estimativa de custo.</t>
  </si>
  <si>
    <t>* O fornecedor 03 ofertou 5 % de desconto sob o valor total; tendo sido esse valor aplicado nos custos unitários dos produtos separadamente para fins de estimativa de custo.</t>
  </si>
  <si>
    <t>Calha metálica retangular // Calhas laterais // Altura = 0,30 m - 0,40 m; Largura = 0,30 m; Abas = 0,05 m / 0,02 m // Extensão = 70,85 + 70,85  = 141,70 m // Qtd = 141,70 x (0,30 + 0,40 + 0,30 + 0,05 + 0,02) = 151,62 m²</t>
  </si>
  <si>
    <t>Calha metálica retangular // Altura = 0,30 m; Largura = 0,30 m; Abas = 0,05 m Extensão = 25,85 + 45,50 + 45,50 = 116,85 m // Qtd = 116,85 x (0,30 + 0,30 + 0,30 + 0,05 + 0,05) = 116,85 m²</t>
  </si>
  <si>
    <t>Critério adotado = 3% da área construída. Área 1.890 x 0,03 = 56,70 m²</t>
  </si>
  <si>
    <t>Critério adotado = 12% da área construída. Área = 1.890 x 0,12 = 226,80 m²</t>
  </si>
  <si>
    <t xml:space="preserve">* O levantamento de quantitativos foi realizado em concordância com os "Critérios para orçamento de obras civis" da GOINFRA e cadernos técnicos do Sistema Nacional de Pesquisa de Custos e Índices da Construção Civil - SINAPI.  </t>
  </si>
  <si>
    <t xml:space="preserve"> 1.22 </t>
  </si>
  <si>
    <t>Código</t>
  </si>
  <si>
    <t>Banco</t>
  </si>
  <si>
    <t>Descrição</t>
  </si>
  <si>
    <t>Quant.</t>
  </si>
  <si>
    <t>Valor Unit</t>
  </si>
  <si>
    <t>Total</t>
  </si>
  <si>
    <t>Composição</t>
  </si>
  <si>
    <t>Próprio</t>
  </si>
  <si>
    <t>Insumo</t>
  </si>
  <si>
    <t xml:space="preserve"> 0004 </t>
  </si>
  <si>
    <t>PEDREIRO</t>
  </si>
  <si>
    <t xml:space="preserve"> 0005 </t>
  </si>
  <si>
    <t>SERVENTE</t>
  </si>
  <si>
    <t>Observação</t>
  </si>
  <si>
    <t>Composição elaborada considerando consumo de mão de obra das composições SETOP DEM-QUA-005.</t>
  </si>
  <si>
    <t xml:space="preserve"> 1.23 </t>
  </si>
  <si>
    <t>REMOÇÃO DE APARELHO DE AR CONDICIONADO DE 24 000 BTU (COM REAPROVEITAMENTO)</t>
  </si>
  <si>
    <t xml:space="preserve"> 00034794 </t>
  </si>
  <si>
    <t>SINAPI</t>
  </si>
  <si>
    <t>MECANICO DE REFRIGERACAO (HORISTA)</t>
  </si>
  <si>
    <t>H</t>
  </si>
  <si>
    <t xml:space="preserve"> 0008 </t>
  </si>
  <si>
    <t>AJUDANTE</t>
  </si>
  <si>
    <t>COMPOSIÇÃO ELABORADA UTILIZANDO COMO REFERÊNCIA OS COEFICIENTES DE CONSUMO DE MÃO DE OBRA DA COMPOSIÇÃO SINAPI 103254.</t>
  </si>
  <si>
    <t xml:space="preserve"> 1.25 </t>
  </si>
  <si>
    <t>REMOÇÃO DE PERFIS METÁLICOS DE ESTURURA DE TELHADO</t>
  </si>
  <si>
    <t>Kg</t>
  </si>
  <si>
    <t xml:space="preserve"> 0015 </t>
  </si>
  <si>
    <t>MONTADOR DE ESTRUTURA METALICA</t>
  </si>
  <si>
    <t xml:space="preserve">COMPOSIÇÃO ELABORADA UTILIZANDO COMO REFERÊNCIA OS COEFICIENTES DE CONSUMO DE MÃO DE OBRA E MATERIAL DA COMPOSIÇÃO EMOP 05.002.0065-A.
</t>
  </si>
  <si>
    <t xml:space="preserve"> 1.26 </t>
  </si>
  <si>
    <t>REMOÇÃO DE PEITORIL</t>
  </si>
  <si>
    <t>COMPOSIÇÃO ELABORADA UTILIZANDO COMO REFERÊNCIA AS COMPOSIÇÕES SETOP DEM-PEI-005.</t>
  </si>
  <si>
    <t xml:space="preserve"> 1.27 </t>
  </si>
  <si>
    <t>DEMOLIÇÃO DE RODAPÉ DE GRANITINA</t>
  </si>
  <si>
    <t>Composição elaborada considerando consumo de mão de obra das composições ORSE 12300.</t>
  </si>
  <si>
    <t xml:space="preserve"> 1.28 </t>
  </si>
  <si>
    <t xml:space="preserve"> 0012 </t>
  </si>
  <si>
    <t>ELETRICISTA</t>
  </si>
  <si>
    <t xml:space="preserve">Composição elaborada considerando consumo de mão de obra das composições SBC 22271. </t>
  </si>
  <si>
    <t xml:space="preserve"> 1.29 </t>
  </si>
  <si>
    <t>DEMOLIÇÃO DE ALVENARIA COM BLOCOS DE CONCRETO COM REVESTIMENTO</t>
  </si>
  <si>
    <t xml:space="preserve">COMPOSIÇÃO ELABORADA UTILIZANDO COMO REFERÊNCIA OS COEFICIENTES DE CONSUMO DE MATERIAL E MÃO DE OBRA DA COMPOSIÇÃO ORSE 11145
</t>
  </si>
  <si>
    <t xml:space="preserve"> 1.30 </t>
  </si>
  <si>
    <t>REMOÇÃO MANUAL DE PORTA 1,0 M X 2,10 M COM REAPROVEITAMENTO</t>
  </si>
  <si>
    <t xml:space="preserve">COMPOSIÇÃO ELABORADA UTILIZANDO COMO REFERÊNCIA OS COEFICIENTES DE CONSUMO DE MATERIAL E MÃO DE OBRA DA COMPOSIÇÃO SINAPI 97644.
</t>
  </si>
  <si>
    <t xml:space="preserve"> 1.31 </t>
  </si>
  <si>
    <t>REMOÇÃO MANUAL DE JANELA 2,0 M X 1,0 M COM REAPROVEITAMENTO</t>
  </si>
  <si>
    <t xml:space="preserve">COMPOSIÇÃO ELABORADA UTILIZANDO COMO REFERÊNCIA OS COEFICIENTES DE CONSUMO DE MATERIAL E MÃO DE OBRA DA COMPOSIÇÃO SINAPI 97645.
</t>
  </si>
  <si>
    <t xml:space="preserve"> 1.32 </t>
  </si>
  <si>
    <t xml:space="preserve"> 0021 </t>
  </si>
  <si>
    <t>SERRALHEIRO</t>
  </si>
  <si>
    <t xml:space="preserve">COMPOSIÇÃO ELABORADA UTILIZANDO COMO REFERÊNCIA OS COEFICIENTES DE CONSUMO DE MATERIAL E MÃO DE OBRA DA COMPOSIÇÃO ORSE 4859.
</t>
  </si>
  <si>
    <t xml:space="preserve"> 1.33 </t>
  </si>
  <si>
    <t xml:space="preserve">COMPOSIÇÃO ELABORADA UTILIZANDO COMO REFERÊNCIA OS COEFICIENTES DE CONSUMO DE MATERIAL E MÃO DE OBRA DA COMPOSIÇÃO ORSE 12117.
</t>
  </si>
  <si>
    <t xml:space="preserve"> 1.34 </t>
  </si>
  <si>
    <t>REMOÇÃO DE TOTEM  - DIMENSÕES: ALTURA = 271 CM ; COMPRIMENTO = 89 CM ; LARGURA = 20 CM</t>
  </si>
  <si>
    <t xml:space="preserve"> 5.47 </t>
  </si>
  <si>
    <t xml:space="preserve"> 00001871 </t>
  </si>
  <si>
    <t>CAIXA OCTOGONAL DE FUNDO MOVEL, EM PVC, DE 3" X 3", PARA ELETRODUTO FLEXIVEL CORRUGADO</t>
  </si>
  <si>
    <t>COMPOSIÇÃO ELABORADA UTILIZANDO COMO REFERÊNCIA OS COEFICIENTES DE CONSUMO DE MATERIAL E MÃO DE OBRA DA COMPOSIÇÃO GOINFRA 070680</t>
  </si>
  <si>
    <t xml:space="preserve"> 5.48 </t>
  </si>
  <si>
    <t>Composição elaborada considerando consumos de mão de obra da composição GOINFRA 70251
.</t>
  </si>
  <si>
    <t xml:space="preserve"> 5.49 </t>
  </si>
  <si>
    <t xml:space="preserve"> 00004332 </t>
  </si>
  <si>
    <t>PARAFUSO ZINCADO, SEXTAVADO, COM ROSCA INTEIRA, DIAMETRO 3/8", COMPRIMENTO 2"</t>
  </si>
  <si>
    <t>COMPOSIÇÃO ELABORADA UTILIZANDO COMO REFERÊNCIA OS COEFICIENTES DE CONSUMO DE MATERIAL E MÃO DE OBRA DA COMPOSIÇÃO GOINFRA 071872</t>
  </si>
  <si>
    <t xml:space="preserve"> 5.50 </t>
  </si>
  <si>
    <t xml:space="preserve"> 00004342 </t>
  </si>
  <si>
    <t>PORCA ZINCADA, SEXTAVADA, DIAMETRO 3/8"</t>
  </si>
  <si>
    <t>COMPOSIÇÃO ELABORADA UTILIZANDO COMO REFERÊNCIA OS COEFICIENTES DE CONSUMO DE MATERIAL E MÃO DE OBRA DA COMPOSIÇÃO GOINFRA 071982</t>
  </si>
  <si>
    <t xml:space="preserve"> 5.51 </t>
  </si>
  <si>
    <t>TAMPA PARA CONDULETE METÁLICO PARA 2 TOMADAS (FORNECIMETO E INSTALAÇÃO)</t>
  </si>
  <si>
    <t>Composição elaborada considerando consumos de mão de obra da composição GOINFRA 072465
.</t>
  </si>
  <si>
    <t xml:space="preserve"> 5.52 </t>
  </si>
  <si>
    <t xml:space="preserve"> 5.53 </t>
  </si>
  <si>
    <t>ELETROCALHA PERFURADA TIPO C 150 X 100 X 3000 MM (FORNECIMENTO E INSTALAÇÃO)</t>
  </si>
  <si>
    <t>COMPOSIÇÃO ELABORADA UTILIZANDO COMO REFERENCIA OS COEFICIENTES DE CONSUMO DE MÃO DE OBRA E MATERIAL DA COMPOSIÇÃO ORSE 762.</t>
  </si>
  <si>
    <t xml:space="preserve"> 5.54 </t>
  </si>
  <si>
    <t>COMPOSIÇÃO ELABORADA UTILIZANDO COMO REFERENCIA OS COEFICIENTES DE CONSUMO DE MÃO DE OBRA E MATERIAL DA COMPOSIÇÃO ORSE 12968.</t>
  </si>
  <si>
    <t xml:space="preserve"> 5.55 </t>
  </si>
  <si>
    <t>COMPOSIÇÃO ELABORADA UTILIZANDO COMO REFERENCIA OS COEFICIENTES DE CONSUMO DE MÃO DE OBRA E MATERIAL DA COMPOSIÇÃO ORSE 8308.</t>
  </si>
  <si>
    <t xml:space="preserve"> 5.56 </t>
  </si>
  <si>
    <t>COMPOSIÇÃO ELABORADA UTILIZANDO COMO REFERENCIA OS COEFICIENTES DE CONSUMO DE MÃO DE OBRA E MATERIAL DA COMPOSIÇÃO ORSE 9519.</t>
  </si>
  <si>
    <t xml:space="preserve"> 5.57 </t>
  </si>
  <si>
    <t>LUMINÁRIA PLAFON DE SOBREPOR 30W DIMENSÕES 40 CM X 40 CM</t>
  </si>
  <si>
    <t>LUMINÁRIA PLAFON 30 W - DIMENSÕES 40 CM X 40 CM</t>
  </si>
  <si>
    <t>COMPOSIÇÃO ELABORADA UTILIZANDO COMO REFERÊNCIA OS COEFICIENTES DE CONSUMO DE MÃO DE OBRA E MATERIAL DA COMPOSIÇÃO ORSE 13158.</t>
  </si>
  <si>
    <t xml:space="preserve"> 5.59 </t>
  </si>
  <si>
    <t>COMPOSIÇÃO ELABORADA UTILIZANDO COMO REFERÊNCIA OS COEFICIENTES DE CONSUMO DE MÃO DE OBRA E MATERIAL DA COMPOSIÇÃO COMPESA 71.13.01U.</t>
  </si>
  <si>
    <t xml:space="preserve"> 5.60 </t>
  </si>
  <si>
    <t xml:space="preserve">COMPOSIÇÃO ELABORADA UTILIZANDO COMO REFERÊNCIA OS COEFICIENTES DE CONSUMO DE MÃO DE OBRA E MATERIAL DA COMPOSIÇÃO GOINFRA 072578.
</t>
  </si>
  <si>
    <t xml:space="preserve"> 5.61 </t>
  </si>
  <si>
    <t>AGETOP RODOVIARIA</t>
  </si>
  <si>
    <t>COMPOSIÇÃO ELABORADA UTILIZANDO COMO REFERÊNCIA OS COEFICIENTES DE CONSUMO DE MÃO DE OBRA E MATERIAL DA COMPOSIÇÃO SBC 062108.</t>
  </si>
  <si>
    <t xml:space="preserve"> 6.3 </t>
  </si>
  <si>
    <t xml:space="preserve"> 0011 </t>
  </si>
  <si>
    <t>ENCANADOR</t>
  </si>
  <si>
    <t xml:space="preserve">COMPOSIÇÃO ELABORADA UTILIZANDO COMO REFERÊNCIA OS COEFICIENTES DE CONSUMO DE MATERIAL E MÃO DE OBRA DA COMPOSIÇÃO FDE 08.80.019
.
</t>
  </si>
  <si>
    <t xml:space="preserve"> 6.4 </t>
  </si>
  <si>
    <t xml:space="preserve"> 00037400 </t>
  </si>
  <si>
    <t>PAPELEIRA PLASTICA TIPO DISPENSER PARA PAPEL HIGIENICO ROLAO</t>
  </si>
  <si>
    <t xml:space="preserve">COMPOSIÇÃO ELABORADA UTILIZANDO COMO REFERÊNCIA OS COEFICIENTES DE CONSUMO DE MATERIAL E MÃO DE OBRA DA COMPOSIÇÃO SINAPI 95544.
.
</t>
  </si>
  <si>
    <t xml:space="preserve"> 6.17 </t>
  </si>
  <si>
    <t xml:space="preserve">COMPOSIÇÃO ELABORADA UTILIZANDO COMO REFERÊNCIA OS COEFICIENTES DE CONSUMO DE MATERIAL E MÃO DE OBRA DA COMPOSIÇÃO GOINFRA 80975.
.
</t>
  </si>
  <si>
    <t xml:space="preserve"> 6.19 </t>
  </si>
  <si>
    <t>UNIÃO DE REDUÇÃO 3/4" X 1/2" (IRRIGAÇÃO)</t>
  </si>
  <si>
    <t>UNIÃO REDUÇÃO 3/4" X 1/2"</t>
  </si>
  <si>
    <t xml:space="preserve">COMPOSIÇÃO ELABORADA UTILIZANDO COMO REFERÊNCIA OS COEFICIENTES DE CONSUMO DE MATERIAL E MÃO DE OBRA DA COMPOSIÇÃO GOINFRA 081120.
.
</t>
  </si>
  <si>
    <t xml:space="preserve"> 6.20 </t>
  </si>
  <si>
    <t xml:space="preserve"> 6.21 </t>
  </si>
  <si>
    <t xml:space="preserve"> 6.22 </t>
  </si>
  <si>
    <t>TUBO PVC IRRIGAÇÃO PN80 3/4"</t>
  </si>
  <si>
    <t xml:space="preserve">COMPOSIÇÃO ELABORADA UTILIZANDO COMO REFERÊNCIA OS COEFICIENTES DE CONSUMO DE MATERIAL E MÃO DE OBRA DA COMPOSIÇÃO ORSE 9242.
.
</t>
  </si>
  <si>
    <t xml:space="preserve"> 6.23 </t>
  </si>
  <si>
    <t xml:space="preserve">COMPOSIÇÃO ELABORADA UTILIZANDO COMO REFERÊNCIA OS COEFICIENTES DE CONSUMO DE MATERIAL E MÃO DE OBRA DA COMPOSIÇÃO CAERN 1070192..
.
</t>
  </si>
  <si>
    <t xml:space="preserve"> 6.24 </t>
  </si>
  <si>
    <t>BICO GOTEJADOR</t>
  </si>
  <si>
    <t xml:space="preserve"> 6.25 </t>
  </si>
  <si>
    <t>TEMPORIZADOR ELETRÔNICO DE IRRIGAÇÃO DE JARDIM</t>
  </si>
  <si>
    <t xml:space="preserve">COMPOSIÇÃO ELABORADA UTILIZANDO COMO REFERÊNCIA OS COEFICIENTES DE CONSUMO DE MÃO DA OBRA DA COMPOSIÇÃO ORSE 8736. </t>
  </si>
  <si>
    <t xml:space="preserve"> 8.3 </t>
  </si>
  <si>
    <t>Composição Auxiliar</t>
  </si>
  <si>
    <t xml:space="preserve"> 93281 </t>
  </si>
  <si>
    <t>GUINCHO ELÉTRICO DE COLUNA, CAPACIDADE 400 KG, COM MOTO FREIO, MOTOR TRIFÁSICO DE 1,25 CV - CHP DIURNO. AF_03/2016</t>
  </si>
  <si>
    <t>CHP</t>
  </si>
  <si>
    <t xml:space="preserve"> 93282 </t>
  </si>
  <si>
    <t>GUINCHO ELÉTRICO DE COLUNA, CAPACIDADE 400 KG, COM MOTO FREIO, MOTOR TRIFÁSICO DE 1,25 CV - CHI DIURNO. AF_03/2016</t>
  </si>
  <si>
    <t>CHI</t>
  </si>
  <si>
    <t xml:space="preserve"> 00010997 </t>
  </si>
  <si>
    <t>ELETRODO REVESTIDO AWS - E7018, DIAMETRO IGUAL A 4,00 MM</t>
  </si>
  <si>
    <t>COMPOSIÇÃO ELABORADA UTILIZANDO COMO REFERÊNCIA OS COEFICIENTES DE CONSUMO DA COMPOSIÇÃO SINAPI 92580 E SINAPI 100764.</t>
  </si>
  <si>
    <t xml:space="preserve"> 10.1 </t>
  </si>
  <si>
    <t xml:space="preserve"> 0104 </t>
  </si>
  <si>
    <t>AREIA MÉDIA</t>
  </si>
  <si>
    <t xml:space="preserve"> 1215 </t>
  </si>
  <si>
    <t>CIMENTO PORTLAND CPII-32</t>
  </si>
  <si>
    <t xml:space="preserve"> 1264 </t>
  </si>
  <si>
    <t>DISCO DE DESBASTE 7/8" PARA CONCRETO/FERRO (1/4" X 7")</t>
  </si>
  <si>
    <t xml:space="preserve"> 1672 </t>
  </si>
  <si>
    <t>LIXA PARA FERRO Nº 100</t>
  </si>
  <si>
    <t xml:space="preserve">COMPOSIÇÃO ELABORADA UTILIZANDO COMO REFERÊNCIA OS COEFICIENTES DE CONSUMO DE MATERIAL E MÃO DE OBRA DA COMPOSIÇÃO GOINFRA 180503
</t>
  </si>
  <si>
    <t xml:space="preserve"> 10.2 </t>
  </si>
  <si>
    <t xml:space="preserve">COMPOSIÇÃO ELABORADA UTILIZANDO COMO REFERÊNCIA OS COEFICIENTES DE CONSUMO DE MATERIAL E MÃO DE OBRA DA COMPOSIÇÃO GOINFRA 180401
</t>
  </si>
  <si>
    <t xml:space="preserve"> 10.4 </t>
  </si>
  <si>
    <t>COMPOSIÇÃO ELABORADA UTILIZANDO COMO REFERÊNCIA OS COEFICIENTES DE CONSUMO DE MÃO DA OBRA DA COMPOSIÇÃO GOINFRA 230110.</t>
  </si>
  <si>
    <t xml:space="preserve"> 11.4 </t>
  </si>
  <si>
    <t>TELA EM METAL PARA ESTUQUE (DEPLOYE)</t>
  </si>
  <si>
    <t>COMPOSIÇÃO ELABORADA UTILIZANDO COMO REFERÊNCIA A COMPOSIÇÃO SIURB 040180.</t>
  </si>
  <si>
    <t xml:space="preserve"> 13.9 </t>
  </si>
  <si>
    <t xml:space="preserve"> 95276 </t>
  </si>
  <si>
    <t>POLIDORA DE PISO (POLITRIZ), PESO DE 100KG, DIÂMETRO 450 MM, MOTOR ELÉTRICO, POTÊNCIA 4 HP - CHP DIURNO. AF_05/2023</t>
  </si>
  <si>
    <t xml:space="preserve"> 95277 </t>
  </si>
  <si>
    <t>POLIDORA DE PISO (POLITRIZ), PESO DE 100KG, DIÂMETRO 450 MM, MOTOR ELÉTRICO, POTÊNCIA 4 HP - CHI DIURNO. AF_05/2023</t>
  </si>
  <si>
    <t>COMPOSIÇÃO ELABORADA UTILIZANDO COMO REFERÊNCIA A COMPOSIÇÃO SINAPI 101748.</t>
  </si>
  <si>
    <t xml:space="preserve"> 13.10 </t>
  </si>
  <si>
    <t xml:space="preserve">COMPOSIÇÃO ELABORADA UTILIZANDO COMO REFERÊNCIA A COMPOSIÇÃO SETOP ED-9936.
</t>
  </si>
  <si>
    <t xml:space="preserve"> 17.5 </t>
  </si>
  <si>
    <t>MOVIMENTAÇÃO DE MOBILIÁRIO</t>
  </si>
  <si>
    <t xml:space="preserve"> 17.6 </t>
  </si>
  <si>
    <t>COEFICIENTES DE CONSUMO DE MÃO DE OBRA E MATERIAIS DETERMINADOS EM FUNÇÃO DA COMPOSIÇÃO ORSE 12895</t>
  </si>
  <si>
    <t xml:space="preserve"> 17.7 </t>
  </si>
  <si>
    <t xml:space="preserve"> 17.8 </t>
  </si>
  <si>
    <t xml:space="preserve"> 00011560 </t>
  </si>
  <si>
    <t>MOLA HIDRAULICA AEREA, PARA PORTAS DE ATE 950 MM E PESO DE ATE 65 KG, COM CORPO EM ALUMINIO E BRACO EM ACO, SEM BRACO DE PARADA</t>
  </si>
  <si>
    <t xml:space="preserve"> 17.9 </t>
  </si>
  <si>
    <t>ALÇAPÃO EM FORRO DE GESSO ACARTONADO</t>
  </si>
  <si>
    <t xml:space="preserve"> 17.10 </t>
  </si>
  <si>
    <t xml:space="preserve"> 00037539 </t>
  </si>
  <si>
    <t xml:space="preserve">COMPOSIÇÃO ELABORADA UTILIZANDO COMO REFERÊNCIA OS COEFICIENTES DE CONSUMO DE MATERIAL E MÃO DE OBRA DA COMPOSIÇÃO ORSE 12891.
</t>
  </si>
  <si>
    <t xml:space="preserve"> 17.11 </t>
  </si>
  <si>
    <t xml:space="preserve"> 00037557 </t>
  </si>
  <si>
    <t xml:space="preserve"> 17.12 </t>
  </si>
  <si>
    <t>COMPOSIÇÃO ELABORADA UTILIZANDO COMO REFERÊNCIA OS COEFICIENTES DE CONSUMO DE MATERIAL E MÃO DE OBRA DA COMPOSIÇÃO ORSE 12891.</t>
  </si>
  <si>
    <t xml:space="preserve"> 17.13 </t>
  </si>
  <si>
    <t>PLANTIO DE FORRAÇÃO - GRAMA AMENDOIM</t>
  </si>
  <si>
    <t xml:space="preserve"> 0019 </t>
  </si>
  <si>
    <t>JARDINEIRO</t>
  </si>
  <si>
    <t xml:space="preserve"> 10404 </t>
  </si>
  <si>
    <t>ADUBO ORGÂNICO</t>
  </si>
  <si>
    <t xml:space="preserve"> 2791 </t>
  </si>
  <si>
    <t>ADUBO MINERAL NPK 10/10/10</t>
  </si>
  <si>
    <t xml:space="preserve"> 2792 </t>
  </si>
  <si>
    <t>CALCÁRIO</t>
  </si>
  <si>
    <t xml:space="preserve"> 00000360 </t>
  </si>
  <si>
    <t>MUDA DE RASTEIRA/FORRACAO, AMENDOIM RASTEIRO/ONZE HORAS/AZULZINHA/IMPATIENS OU EQUIVALENTE DA REGIAO</t>
  </si>
  <si>
    <t xml:space="preserve">COMPOSIÇÃO ELABORADA UTILIZANDO COMO REFERÊNCIA OS COEFICIENTES DE CONSUMO DA COMPOSIÇÃO GOINFRA 270213 // COEFICIENTES ALTERADOS EM FUNÇÃO DE CONDIÇÕES ESPECÍFICAS DE PLANTIO // A TRANSFORMAÇÃO DAS UNIDADES DE M2 PARA UNIDADE FOI REALIZADA CONSIDERANDO QUE SERÃO PLANTADAS 998 MUDAS EM 22,03 M2 DE ÁREA; PORTANTO, TEM-SE 1 MUDA A CADA 0,022 M2 DE ÁREA. </t>
  </si>
  <si>
    <t xml:space="preserve"> 17.14 </t>
  </si>
  <si>
    <t xml:space="preserve"> 00003322 </t>
  </si>
  <si>
    <t>GRAMA ESMERALDA OU SAO CARLOS OU CURITIBANA, EM PLACAS, SEM PLANTIO</t>
  </si>
  <si>
    <t xml:space="preserve"> 2057 </t>
  </si>
  <si>
    <t>TERRA VEGETAL</t>
  </si>
  <si>
    <t xml:space="preserve">COMPOSIÇÃO ELABORADA UTILIZANDO COMO REFERÊNCIA OS COEFICIENTES DE CONSUMO DA COMPOSIÇÃO GOINFRA 270210.
</t>
  </si>
  <si>
    <t xml:space="preserve"> 17.15 </t>
  </si>
  <si>
    <t>COMPOSIÇÃO ELABORADA UTILIZANDO COMO REFERÊNCIA A COMPOSIÇÃO ORSE 7657.</t>
  </si>
  <si>
    <t xml:space="preserve"> 17.16 </t>
  </si>
  <si>
    <t>COMPOSIÇÃO ELABORADA UTILIZANDO COMO REFERÊNCIA OS COEFICIENTES DE CONSUMO DE MATERIAL DA COMPOSIÇÃO GOINFRA 270211 E MÃO DE OBRA DA COMPOSIÇÃO SINAPI 98510 (JARDINEIRO).</t>
  </si>
  <si>
    <t xml:space="preserve"> 17.17 </t>
  </si>
  <si>
    <t>COMPOSIÇÃO ELABORADA UTILIZANDO COMO REFERÊNCIA OS COEFICIENTES DE CONSUMO DE MÃO DE OBRA E MATERIAL DA COMPOSIÇÃO ORSE 9320 // COEFICIENTES ALTERADOS EM FUNÇÃO DE CONDIÇÕES ESPECÍFICAS DE PLANTIO.</t>
  </si>
  <si>
    <t xml:space="preserve"> 17.18 </t>
  </si>
  <si>
    <t>COMPOSIÇÃO ELABORADA UTILIZANDO COMO REFERÊNCIA OS COEFICIENTES DE CONSUMO DE MATERIAL DA COMPOSIÇÃO GOINFRA 270211 E DE MÃO DE OBRA DO SINAPI 98511.</t>
  </si>
  <si>
    <t xml:space="preserve"> 17.19 </t>
  </si>
  <si>
    <t>COMPOSIÇÀO ELABORADA UTILIZANDO COMO REFERÊNCIA OS COEFICIENTES DE CONSUMO DA COMPOSIÇÃO GOINFRA 270213 // COEFICIENTES ALTERADOS EM FUNÇÃO DE CONDIÇÕES ESPECÍFICAS DE PLANTIO.</t>
  </si>
  <si>
    <t xml:space="preserve"> 17.20 </t>
  </si>
  <si>
    <t xml:space="preserve"> 2221 </t>
  </si>
  <si>
    <t>PARAFUSO COM BUCHA S-8</t>
  </si>
  <si>
    <t xml:space="preserve"> 17.21 </t>
  </si>
  <si>
    <t xml:space="preserve"> 00004013 </t>
  </si>
  <si>
    <t>GEOTEXTIL NAO TECIDO AGULHADO DE FILAMENTOS CONTINUOS 100% POLIESTER, RESITENCIA A TRACAO = 09 KN/M</t>
  </si>
  <si>
    <t>COMPOSIÇÃO ELABORADA UTILIZANDO COMO REFERÊNCIA OS COEFICIENTES DE CONSUMO DE MÃO DE OBRA E MATERIAL DA COMPOSIÇÃO ORSE 9320 // COEFICIENTES ALTERADOS EM FUNÇÃO DE ESPECIFICIDADES DO PLANTIO. 1 KG DE SUBSTRATO APROXIMADAMENTE 2 L.</t>
  </si>
  <si>
    <t xml:space="preserve"> 17.22 </t>
  </si>
  <si>
    <t>LOUSA DE VIDRO TEMPERADO 10 MM LEITOSO 120 CM X 300 CM</t>
  </si>
  <si>
    <t xml:space="preserve"> 0033 </t>
  </si>
  <si>
    <t>MONTADOR DE DIVISÓRIA/PAINEL</t>
  </si>
  <si>
    <t xml:space="preserve"> 2143 </t>
  </si>
  <si>
    <t>VIDRO TEMPERADO 10 MM S/METAIS - CORTADO E COLOCADO</t>
  </si>
  <si>
    <t xml:space="preserve"> 17.23 </t>
  </si>
  <si>
    <t xml:space="preserve"> 00000242 </t>
  </si>
  <si>
    <t>AJUDANTE ESPECIALIZADO (HORISTA)</t>
  </si>
  <si>
    <t xml:space="preserve"> 00001570 </t>
  </si>
  <si>
    <t>TERMINAL A COMPRESSAO EM COBRE ESTANHADO PARA CABO 2,5 MM2, 1 FURO E 1 COMPRESSAO, PARA PARAFUSO DE FIXACAO M5</t>
  </si>
  <si>
    <t xml:space="preserve"> 00007568 </t>
  </si>
  <si>
    <t>BUCHA DE NYLON SEM ABA S10, COM PARAFUSO DE 6,10 X 65 MM EM ACO ZINCADO COM ROSCA SOBERBA, CABECA CHATA E FENDA PHILLIPS</t>
  </si>
  <si>
    <t xml:space="preserve"> 00013246 </t>
  </si>
  <si>
    <t>PARAFUSO DE FERRO POLIDO, SEXTAVADO, COM ROSCA INTEIRA, DIAMETRO 5/16", COMPRIMENTO 3/4", COM PORCA E ARRUELA LISA LEVE</t>
  </si>
  <si>
    <t xml:space="preserve"> 00011976 </t>
  </si>
  <si>
    <t>CHUMBADOR, DIAMETRO 1/4" COM PARAFUSO 1/4" X 40 MM</t>
  </si>
  <si>
    <t xml:space="preserve">COMPOSIÇÃO ELABORADA UTILIZANDO COMO REFERÊNCIA OS COEIFICIENTES DE CONSUMO DE MATERIAL E MÃO DE OBRA DA COMPOSIÇÃO SINAPI 103254.
</t>
  </si>
  <si>
    <t xml:space="preserve"> 17.24 </t>
  </si>
  <si>
    <t xml:space="preserve"> 00037591 </t>
  </si>
  <si>
    <t>SUPORTE MAO-FRANCESA EM ACO, ABAS IGUAIS 40 CM, CAPACIDADE MINIMA 70 KG, BRANCO</t>
  </si>
  <si>
    <t xml:space="preserve"> 00039662 </t>
  </si>
  <si>
    <t>TUBO DE COBRE FLEXIVEL, D = 1/4 ", E = 0,79 MM, PARA AR-CONDICIONADO/ INSTALACOES GAS RESIDENCIAIS E COMERCIAIS</t>
  </si>
  <si>
    <t xml:space="preserve"> 00039664 </t>
  </si>
  <si>
    <t>TUBO DE COBRE FLEXIVEL, D = 3/8 ", E = 0,79 MM, PARA AR-CONDICIONADO/ INSTALACOES GAS RESIDENCIAIS E COMERCIAIS</t>
  </si>
  <si>
    <t xml:space="preserve"> 00039734 </t>
  </si>
  <si>
    <t>TUBO DE BORRACHA ELASTOMERICA FLEXIVEL, PRETA, PARA ISOLAMENTO TERMICO DE TUBULACAO, DN 1 3/8" (35 MM), E= 32 MM, COEFICIENTE DE CONDUTIVIDADE TERMICA 0,036W/mK, VAPOR DE AGUA MAIOR OU IGUAL A 10.000</t>
  </si>
  <si>
    <t xml:space="preserve"> 00039737 </t>
  </si>
  <si>
    <t>TUBO DE BORRACHA ELASTOMERICA FLEXIVEL, PRETA, PARA ISOLAMENTO TERMICO DE TUBULACAO, DN 1/2" (12 MM), E= 19 MM, COEFICIENTE DE CONDUTIVIDADE TERMICA 0,036W/mK, VAPOR DE AGUA MAIOR OU IGUAL A 10.000</t>
  </si>
  <si>
    <t>COMPOSIÇÃO ELABORADA UTILIZANDO COMO REFERÊNCIA A COMPOSIÇÃO SINAPI 103247.</t>
  </si>
  <si>
    <t>COMPOSIÇÕES ANALÍTICAS DE CUSTO UNITÁRIO</t>
  </si>
  <si>
    <t>FAZENDA FONTES DO SABER, RIO VERDE, GOIÁS</t>
  </si>
  <si>
    <t>TABELA 209 - CUSTOS DE OBRAS CIVIS - JUNHO/2023 - DESONERADA</t>
  </si>
  <si>
    <t>Data Base: 01/06/2023</t>
  </si>
  <si>
    <t>DATA DE EMISSÃO : 20/06/2023</t>
  </si>
  <si>
    <t>DATA REFERÊNCIA TÉCNICA: 20/06/2023</t>
  </si>
  <si>
    <t xml:space="preserve">COMP. 01 </t>
  </si>
  <si>
    <t xml:space="preserve">COMP. 18 </t>
  </si>
  <si>
    <t xml:space="preserve">COMP. 45 </t>
  </si>
  <si>
    <t xml:space="preserve">COMP. 46 </t>
  </si>
  <si>
    <t xml:space="preserve">COMP. 47 </t>
  </si>
  <si>
    <t xml:space="preserve">COMP. 48 </t>
  </si>
  <si>
    <t xml:space="preserve">COMP. 49 </t>
  </si>
  <si>
    <t xml:space="preserve">COMP. 50 </t>
  </si>
  <si>
    <t xml:space="preserve">COMP. 51 </t>
  </si>
  <si>
    <t xml:space="preserve">COMP. 52 </t>
  </si>
  <si>
    <t xml:space="preserve">COMP. 53 </t>
  </si>
  <si>
    <t xml:space="preserve">COMP. 54 </t>
  </si>
  <si>
    <t xml:space="preserve">COMP. 02 </t>
  </si>
  <si>
    <t xml:space="preserve">COMP. 13 </t>
  </si>
  <si>
    <t xml:space="preserve">COTAÇÃO 18 </t>
  </si>
  <si>
    <t xml:space="preserve">COMP. 03 </t>
  </si>
  <si>
    <t xml:space="preserve">COMP. 04 </t>
  </si>
  <si>
    <t xml:space="preserve">COMP. 14 </t>
  </si>
  <si>
    <t xml:space="preserve">COTAÇÃO 19 </t>
  </si>
  <si>
    <t xml:space="preserve">COMP. 17 </t>
  </si>
  <si>
    <t xml:space="preserve">COTAÇÃO 27 </t>
  </si>
  <si>
    <t xml:space="preserve">COMP. 06 </t>
  </si>
  <si>
    <t xml:space="preserve">COTAÇÃO 12 </t>
  </si>
  <si>
    <t xml:space="preserve">COMP. 07 </t>
  </si>
  <si>
    <t xml:space="preserve">COTAÇÃO 13 </t>
  </si>
  <si>
    <t xml:space="preserve">COTAÇÃO 14 </t>
  </si>
  <si>
    <t xml:space="preserve">COMP. 09 </t>
  </si>
  <si>
    <t xml:space="preserve">COTAÇÃO 15 </t>
  </si>
  <si>
    <t xml:space="preserve">COMP. 10 </t>
  </si>
  <si>
    <t xml:space="preserve">COTAÇÃO 16 </t>
  </si>
  <si>
    <t xml:space="preserve">COMP. 11 </t>
  </si>
  <si>
    <t xml:space="preserve">COTAÇÃO 17 </t>
  </si>
  <si>
    <t xml:space="preserve">COMP. 12 </t>
  </si>
  <si>
    <t xml:space="preserve">COTAÇÃO 25 </t>
  </si>
  <si>
    <t xml:space="preserve">COMP. 37 </t>
  </si>
  <si>
    <t xml:space="preserve">COTAÇÃO 58 </t>
  </si>
  <si>
    <t xml:space="preserve">COMP. 55 </t>
  </si>
  <si>
    <t xml:space="preserve">COTAÇÃO 55 </t>
  </si>
  <si>
    <t xml:space="preserve">COMP. 56 </t>
  </si>
  <si>
    <t xml:space="preserve">COMP. 57 </t>
  </si>
  <si>
    <t xml:space="preserve">COTAÇÃO 31 </t>
  </si>
  <si>
    <t xml:space="preserve">COMP. 58 </t>
  </si>
  <si>
    <t xml:space="preserve">COTAÇÃO 32 </t>
  </si>
  <si>
    <t xml:space="preserve">COMP. 59 </t>
  </si>
  <si>
    <t xml:space="preserve">COTAÇÃO 33 </t>
  </si>
  <si>
    <t xml:space="preserve">COMP. 60 </t>
  </si>
  <si>
    <t xml:space="preserve">COTAÇÃO 34 </t>
  </si>
  <si>
    <t xml:space="preserve">COMP. 61 </t>
  </si>
  <si>
    <t xml:space="preserve">COTAÇÃO 35 </t>
  </si>
  <si>
    <t xml:space="preserve">COMP. 21 </t>
  </si>
  <si>
    <t xml:space="preserve">COTAÇÃO 36 </t>
  </si>
  <si>
    <t xml:space="preserve">COMP. 16 </t>
  </si>
  <si>
    <t xml:space="preserve">COTAÇÃO 37 </t>
  </si>
  <si>
    <t xml:space="preserve">COMP. 15 </t>
  </si>
  <si>
    <t xml:space="preserve">COTAÇÃO 38 </t>
  </si>
  <si>
    <t xml:space="preserve">COMP. 20 </t>
  </si>
  <si>
    <t xml:space="preserve">COMP. 42 </t>
  </si>
  <si>
    <t xml:space="preserve">COMP. 43 </t>
  </si>
  <si>
    <t xml:space="preserve">COMP. 19 </t>
  </si>
  <si>
    <t xml:space="preserve">COTAÇÃO 60 </t>
  </si>
  <si>
    <t xml:space="preserve">COMP. 38 </t>
  </si>
  <si>
    <t xml:space="preserve">COMP. 39 </t>
  </si>
  <si>
    <t xml:space="preserve">COMP. 40 </t>
  </si>
  <si>
    <t xml:space="preserve">COTAÇÃO 54 </t>
  </si>
  <si>
    <t xml:space="preserve">COMP. 22 </t>
  </si>
  <si>
    <t xml:space="preserve">COMP. 23 </t>
  </si>
  <si>
    <t xml:space="preserve">COTAÇÃO 28 </t>
  </si>
  <si>
    <t xml:space="preserve">COMP. 24 </t>
  </si>
  <si>
    <t xml:space="preserve">COTAÇÃO 29 </t>
  </si>
  <si>
    <t xml:space="preserve">COMP. 41 </t>
  </si>
  <si>
    <t xml:space="preserve">COMP. 44 </t>
  </si>
  <si>
    <t xml:space="preserve">COTAÇÃO 30 </t>
  </si>
  <si>
    <t xml:space="preserve">COMP. 25 </t>
  </si>
  <si>
    <t xml:space="preserve">COMP. 26 </t>
  </si>
  <si>
    <t xml:space="preserve">COMP. 27 </t>
  </si>
  <si>
    <t xml:space="preserve">COMP. 28 </t>
  </si>
  <si>
    <t xml:space="preserve">COTAÇÃO 57 </t>
  </si>
  <si>
    <t xml:space="preserve">COMP. 29 </t>
  </si>
  <si>
    <t xml:space="preserve">COMP. 30 </t>
  </si>
  <si>
    <t xml:space="preserve">COTAÇÃO 52 </t>
  </si>
  <si>
    <t xml:space="preserve">COMP. 31 </t>
  </si>
  <si>
    <t xml:space="preserve">COMP. 32 </t>
  </si>
  <si>
    <t xml:space="preserve">COMP. 33 </t>
  </si>
  <si>
    <t xml:space="preserve">COMP. 34 </t>
  </si>
  <si>
    <t xml:space="preserve">COMP. 35 </t>
  </si>
  <si>
    <t xml:space="preserve">COMP. 36 </t>
  </si>
  <si>
    <t xml:space="preserve">COMP. 62 </t>
  </si>
  <si>
    <t xml:space="preserve">COTAÇÃO 11 </t>
  </si>
  <si>
    <t xml:space="preserve">COTAÇÃO 61 </t>
  </si>
  <si>
    <t xml:space="preserve">COMP. 05 </t>
  </si>
  <si>
    <t xml:space="preserve">COMP. 63 </t>
  </si>
  <si>
    <t>Total com BDI</t>
  </si>
  <si>
    <t>GOINFRA</t>
  </si>
  <si>
    <t xml:space="preserve">MONTADOR DE ESTRUTURA METÁLICA </t>
  </si>
  <si>
    <t xml:space="preserve">AJUDANTE DE ESTRUTURA METÁLICA </t>
  </si>
  <si>
    <t xml:space="preserve">SOLDADOR </t>
  </si>
  <si>
    <t xml:space="preserve">Composição </t>
  </si>
  <si>
    <t>GAB SINALIZAÇÃO E SERVIÇOS LTDA - ME</t>
  </si>
  <si>
    <t>07.851.907/0001-03</t>
  </si>
  <si>
    <t>(62) 3259-5656 / (62) 98189-6158</t>
  </si>
  <si>
    <t>ARTHUR CARLOS VILARINHO JÚNIOR ME (VILA DAS PLACAS)</t>
  </si>
  <si>
    <t>32.844.973/0001-01</t>
  </si>
  <si>
    <t>(11) 3443-9220 / (11) 94329-0084</t>
  </si>
  <si>
    <t>COTAÇÃO 62</t>
  </si>
  <si>
    <t xml:space="preserve"> COTAÇÃO 62</t>
  </si>
  <si>
    <t>PLANILHA ORÇAMENTÁRIA DE CUSTOS</t>
  </si>
  <si>
    <t>Item</t>
  </si>
  <si>
    <t>Valor Unit com BDI</t>
  </si>
  <si>
    <t>Peso (%)</t>
  </si>
  <si>
    <t>M. O.</t>
  </si>
  <si>
    <t>MAT.</t>
  </si>
  <si>
    <t>TABELA 207 - CUSTOS DE OBRAS RODOVIÁRIAS - JUNHO/2023 - DESONERADA</t>
  </si>
  <si>
    <t xml:space="preserve"> 1.1 </t>
  </si>
  <si>
    <t xml:space="preserve"> 020102 </t>
  </si>
  <si>
    <t xml:space="preserve"> 1.2 </t>
  </si>
  <si>
    <t xml:space="preserve"> 020103 </t>
  </si>
  <si>
    <t xml:space="preserve"> 1.3 </t>
  </si>
  <si>
    <t xml:space="preserve"> 020106 </t>
  </si>
  <si>
    <t xml:space="preserve"> 1.4 </t>
  </si>
  <si>
    <t xml:space="preserve"> 020117 </t>
  </si>
  <si>
    <t xml:space="preserve"> 1.5 </t>
  </si>
  <si>
    <t xml:space="preserve"> 020118 </t>
  </si>
  <si>
    <t xml:space="preserve"> 1.6 </t>
  </si>
  <si>
    <t xml:space="preserve"> 020121 </t>
  </si>
  <si>
    <t xml:space="preserve"> 1.7 </t>
  </si>
  <si>
    <t xml:space="preserve"> 020125 </t>
  </si>
  <si>
    <t xml:space="preserve"> 1.8 </t>
  </si>
  <si>
    <t xml:space="preserve"> 020129 </t>
  </si>
  <si>
    <t xml:space="preserve"> 1.9 </t>
  </si>
  <si>
    <t xml:space="preserve"> 020139 </t>
  </si>
  <si>
    <t xml:space="preserve"> 1.10 </t>
  </si>
  <si>
    <t xml:space="preserve"> 020140 </t>
  </si>
  <si>
    <t>REMOÇÃO MANUAL DE METAL SANITÁRIO (VÁLVULAS/SIFÃO/REGISTROS/TORNEIRAS/OUTROS) COM TRANSPORTE ATÉ CAÇAMBA E CARGA</t>
  </si>
  <si>
    <t xml:space="preserve"> 1.11 </t>
  </si>
  <si>
    <t xml:space="preserve"> 020147 </t>
  </si>
  <si>
    <t xml:space="preserve"> 1.12 </t>
  </si>
  <si>
    <t xml:space="preserve"> 020157 </t>
  </si>
  <si>
    <t xml:space="preserve"> 1.13 </t>
  </si>
  <si>
    <t xml:space="preserve"> 020164 </t>
  </si>
  <si>
    <t xml:space="preserve"> 1.14 </t>
  </si>
  <si>
    <t xml:space="preserve"> 020165 </t>
  </si>
  <si>
    <t xml:space="preserve"> 1.15 </t>
  </si>
  <si>
    <t xml:space="preserve"> 020166 </t>
  </si>
  <si>
    <t xml:space="preserve"> 1.16 </t>
  </si>
  <si>
    <t xml:space="preserve"> 020167 </t>
  </si>
  <si>
    <t>REMOÇÃO MANUAL DE LUMINÁRIA COM TRANSPORTE ATÉ CAÇAMBA E CARGA</t>
  </si>
  <si>
    <t xml:space="preserve"> 1.17 </t>
  </si>
  <si>
    <t xml:space="preserve"> 020168 </t>
  </si>
  <si>
    <t>REMOÇÃO MANUAL DE INTERRUPTOR/TOMADA ELÉTRICA/DISJUNTOR COM TRANSPORTE ATÉ CAÇAMBA E CARGA</t>
  </si>
  <si>
    <t xml:space="preserve"> 1.18 </t>
  </si>
  <si>
    <t xml:space="preserve"> 020200 </t>
  </si>
  <si>
    <t xml:space="preserve"> 1.19 </t>
  </si>
  <si>
    <t xml:space="preserve"> 020202 </t>
  </si>
  <si>
    <t xml:space="preserve"> 1.20 </t>
  </si>
  <si>
    <t xml:space="preserve"> 021301 </t>
  </si>
  <si>
    <t xml:space="preserve"> 1.21 </t>
  </si>
  <si>
    <t xml:space="preserve"> 021602 </t>
  </si>
  <si>
    <t xml:space="preserve"> 1.24 </t>
  </si>
  <si>
    <t xml:space="preserve"> 97664 </t>
  </si>
  <si>
    <t xml:space="preserve"> 2 </t>
  </si>
  <si>
    <t xml:space="preserve"> 2.1 </t>
  </si>
  <si>
    <t xml:space="preserve"> 030104 </t>
  </si>
  <si>
    <t xml:space="preserve"> 2.2 </t>
  </si>
  <si>
    <t xml:space="preserve"> 030105 </t>
  </si>
  <si>
    <t xml:space="preserve"> 2.3 </t>
  </si>
  <si>
    <t xml:space="preserve"> 030114 </t>
  </si>
  <si>
    <t xml:space="preserve"> 2.4 </t>
  </si>
  <si>
    <t xml:space="preserve"> 030116 </t>
  </si>
  <si>
    <t xml:space="preserve"> 2.5 </t>
  </si>
  <si>
    <t xml:space="preserve"> 00010776 </t>
  </si>
  <si>
    <t>LOCACAO DE CONTAINER 2,30 X 6,00 M, ALT. 2,50 M, PARA ESCRITORIO, SEM DIVISORIAS INTERNAS E SEM SANITARIO (NAO INCLUI MOBILIZACAO/DESMOBILIZACAO)</t>
  </si>
  <si>
    <t>MES</t>
  </si>
  <si>
    <t xml:space="preserve"> 3 </t>
  </si>
  <si>
    <t xml:space="preserve"> 3.1 </t>
  </si>
  <si>
    <t xml:space="preserve"> 040101 </t>
  </si>
  <si>
    <t xml:space="preserve"> 3.2 </t>
  </si>
  <si>
    <t xml:space="preserve"> 040902 </t>
  </si>
  <si>
    <t xml:space="preserve"> 4 </t>
  </si>
  <si>
    <t xml:space="preserve"> 4.1 </t>
  </si>
  <si>
    <t xml:space="preserve"> 060010 </t>
  </si>
  <si>
    <t xml:space="preserve"> 4.2 </t>
  </si>
  <si>
    <t xml:space="preserve"> 060104 </t>
  </si>
  <si>
    <t xml:space="preserve"> 5 </t>
  </si>
  <si>
    <t xml:space="preserve"> 5.1 </t>
  </si>
  <si>
    <t xml:space="preserve"> 070251 </t>
  </si>
  <si>
    <t xml:space="preserve"> 5.2 </t>
  </si>
  <si>
    <t xml:space="preserve"> 070255 </t>
  </si>
  <si>
    <t xml:space="preserve"> 5.3 </t>
  </si>
  <si>
    <t xml:space="preserve"> 070350 </t>
  </si>
  <si>
    <t xml:space="preserve"> 5.4 </t>
  </si>
  <si>
    <t xml:space="preserve"> 070372 </t>
  </si>
  <si>
    <t xml:space="preserve"> 5.5 </t>
  </si>
  <si>
    <t xml:space="preserve"> 070374 </t>
  </si>
  <si>
    <t xml:space="preserve"> 5.6 </t>
  </si>
  <si>
    <t xml:space="preserve"> 070390 </t>
  </si>
  <si>
    <t xml:space="preserve"> 5.7 </t>
  </si>
  <si>
    <t xml:space="preserve"> 070391 </t>
  </si>
  <si>
    <t xml:space="preserve"> 5.8 </t>
  </si>
  <si>
    <t xml:space="preserve"> 070542 </t>
  </si>
  <si>
    <t xml:space="preserve"> 5.9 </t>
  </si>
  <si>
    <t xml:space="preserve"> 070563 </t>
  </si>
  <si>
    <t xml:space="preserve"> 5.10 </t>
  </si>
  <si>
    <t xml:space="preserve"> 070564 </t>
  </si>
  <si>
    <t xml:space="preserve"> 5.11 </t>
  </si>
  <si>
    <t xml:space="preserve"> 070583 </t>
  </si>
  <si>
    <t xml:space="preserve"> 5.12 </t>
  </si>
  <si>
    <t xml:space="preserve"> 070585 </t>
  </si>
  <si>
    <t xml:space="preserve"> 5.13 </t>
  </si>
  <si>
    <t xml:space="preserve"> 070586 </t>
  </si>
  <si>
    <t xml:space="preserve"> 5.14 </t>
  </si>
  <si>
    <t xml:space="preserve"> 070691 </t>
  </si>
  <si>
    <t>CAIXA METALICA RETANGULAR 4" X 2" X 2"</t>
  </si>
  <si>
    <t xml:space="preserve"> 5.15 </t>
  </si>
  <si>
    <t xml:space="preserve"> 070692 </t>
  </si>
  <si>
    <t xml:space="preserve"> 5.16 </t>
  </si>
  <si>
    <t xml:space="preserve"> 070929 </t>
  </si>
  <si>
    <t>CONDULETE METÁLICO - CAIXA COM 5 ENTRADAS</t>
  </si>
  <si>
    <t xml:space="preserve"> 5.17 </t>
  </si>
  <si>
    <t xml:space="preserve"> 070931 </t>
  </si>
  <si>
    <t xml:space="preserve"> 5.18 </t>
  </si>
  <si>
    <t xml:space="preserve"> 070933 </t>
  </si>
  <si>
    <t>CONDULETE METÁLICO - TAMPÃO DE 1"</t>
  </si>
  <si>
    <t xml:space="preserve"> 5.19 </t>
  </si>
  <si>
    <t xml:space="preserve"> 071122 </t>
  </si>
  <si>
    <t xml:space="preserve"> 5.20 </t>
  </si>
  <si>
    <t xml:space="preserve"> 071171 </t>
  </si>
  <si>
    <t xml:space="preserve"> 5.21 </t>
  </si>
  <si>
    <t xml:space="preserve"> 071173 </t>
  </si>
  <si>
    <t xml:space="preserve"> 5.22 </t>
  </si>
  <si>
    <t xml:space="preserve"> 071175 </t>
  </si>
  <si>
    <t xml:space="preserve"> 5.23 </t>
  </si>
  <si>
    <t xml:space="preserve"> 071195 </t>
  </si>
  <si>
    <t xml:space="preserve"> 5.24 </t>
  </si>
  <si>
    <t xml:space="preserve"> 071196 </t>
  </si>
  <si>
    <t xml:space="preserve"> 5.25 </t>
  </si>
  <si>
    <t xml:space="preserve"> 071199 </t>
  </si>
  <si>
    <t xml:space="preserve"> 5.26 </t>
  </si>
  <si>
    <t xml:space="preserve"> 071252 </t>
  </si>
  <si>
    <t xml:space="preserve"> 5.27 </t>
  </si>
  <si>
    <t xml:space="preserve"> 071254 </t>
  </si>
  <si>
    <t xml:space="preserve"> 5.28 </t>
  </si>
  <si>
    <t xml:space="preserve"> 071380 </t>
  </si>
  <si>
    <t xml:space="preserve"> 5.29 </t>
  </si>
  <si>
    <t xml:space="preserve"> 071432 </t>
  </si>
  <si>
    <t xml:space="preserve"> 5.30 </t>
  </si>
  <si>
    <t xml:space="preserve"> 071440 </t>
  </si>
  <si>
    <t xml:space="preserve"> 5.31 </t>
  </si>
  <si>
    <t xml:space="preserve"> 071721 </t>
  </si>
  <si>
    <t xml:space="preserve"> 5.32 </t>
  </si>
  <si>
    <t xml:space="preserve"> 071860 </t>
  </si>
  <si>
    <t xml:space="preserve"> 5.33 </t>
  </si>
  <si>
    <t xml:space="preserve"> 071861 </t>
  </si>
  <si>
    <t xml:space="preserve"> 5.34 </t>
  </si>
  <si>
    <t xml:space="preserve"> 071872 </t>
  </si>
  <si>
    <t xml:space="preserve"> 5.35 </t>
  </si>
  <si>
    <t xml:space="preserve"> 071981 </t>
  </si>
  <si>
    <t xml:space="preserve"> 5.36 </t>
  </si>
  <si>
    <t xml:space="preserve"> 072172 </t>
  </si>
  <si>
    <t xml:space="preserve"> 5.37 </t>
  </si>
  <si>
    <t xml:space="preserve"> 072326 </t>
  </si>
  <si>
    <t xml:space="preserve"> 5.38 </t>
  </si>
  <si>
    <t xml:space="preserve"> 072395 </t>
  </si>
  <si>
    <t xml:space="preserve"> 5.39 </t>
  </si>
  <si>
    <t xml:space="preserve"> 072465 </t>
  </si>
  <si>
    <t xml:space="preserve"> 5.40 </t>
  </si>
  <si>
    <t xml:space="preserve"> 072475 </t>
  </si>
  <si>
    <t xml:space="preserve"> 5.41 </t>
  </si>
  <si>
    <t xml:space="preserve"> 072476 </t>
  </si>
  <si>
    <t xml:space="preserve"> 5.42 </t>
  </si>
  <si>
    <t xml:space="preserve"> 072556 </t>
  </si>
  <si>
    <t xml:space="preserve"> 5.43 </t>
  </si>
  <si>
    <t xml:space="preserve"> 072578 </t>
  </si>
  <si>
    <t xml:space="preserve"> 5.44 </t>
  </si>
  <si>
    <t xml:space="preserve"> 072579 </t>
  </si>
  <si>
    <t xml:space="preserve"> 5.45 </t>
  </si>
  <si>
    <t xml:space="preserve"> 072585 </t>
  </si>
  <si>
    <t xml:space="preserve"> 5.46 </t>
  </si>
  <si>
    <t xml:space="preserve"> 072660 </t>
  </si>
  <si>
    <t xml:space="preserve"> 5.58 </t>
  </si>
  <si>
    <t xml:space="preserve"> 101879 </t>
  </si>
  <si>
    <t xml:space="preserve"> 5.62 </t>
  </si>
  <si>
    <t xml:space="preserve"> 97610 </t>
  </si>
  <si>
    <t xml:space="preserve"> 6 </t>
  </si>
  <si>
    <t xml:space="preserve"> 6.1 </t>
  </si>
  <si>
    <t xml:space="preserve"> 080510 </t>
  </si>
  <si>
    <t xml:space="preserve"> 6.2 </t>
  </si>
  <si>
    <t xml:space="preserve"> 080556 </t>
  </si>
  <si>
    <t xml:space="preserve"> 6.5 </t>
  </si>
  <si>
    <t xml:space="preserve"> 080562 </t>
  </si>
  <si>
    <t xml:space="preserve"> 6.6 </t>
  </si>
  <si>
    <t xml:space="preserve"> 080572 </t>
  </si>
  <si>
    <t xml:space="preserve"> 6.7 </t>
  </si>
  <si>
    <t xml:space="preserve"> 080580 </t>
  </si>
  <si>
    <t xml:space="preserve"> 6.8 </t>
  </si>
  <si>
    <t xml:space="preserve"> 080621 </t>
  </si>
  <si>
    <t xml:space="preserve"> 6.9 </t>
  </si>
  <si>
    <t xml:space="preserve"> 080810 </t>
  </si>
  <si>
    <t xml:space="preserve"> 6.10 </t>
  </si>
  <si>
    <t xml:space="preserve"> 080811 </t>
  </si>
  <si>
    <t xml:space="preserve"> 6.11 </t>
  </si>
  <si>
    <t xml:space="preserve"> 081003 </t>
  </si>
  <si>
    <t xml:space="preserve"> 6.12 </t>
  </si>
  <si>
    <t xml:space="preserve"> 081102 </t>
  </si>
  <si>
    <t xml:space="preserve"> 6.13 </t>
  </si>
  <si>
    <t xml:space="preserve"> 081320 </t>
  </si>
  <si>
    <t xml:space="preserve"> 6.14 </t>
  </si>
  <si>
    <t xml:space="preserve"> 081420 </t>
  </si>
  <si>
    <t xml:space="preserve"> 6.15 </t>
  </si>
  <si>
    <t xml:space="preserve"> 081751 </t>
  </si>
  <si>
    <t xml:space="preserve"> 6.16 </t>
  </si>
  <si>
    <t xml:space="preserve"> 082055 </t>
  </si>
  <si>
    <t xml:space="preserve"> 6.18 </t>
  </si>
  <si>
    <t xml:space="preserve"> 103047 </t>
  </si>
  <si>
    <t>REGISTRO DE ESFERA, PVC, SOLDÁVEL, COM VOLANTE, DN  20 MM - FORNECIMENTO E INSTALAÇÃO. AF_08/2021</t>
  </si>
  <si>
    <t xml:space="preserve"> 7 </t>
  </si>
  <si>
    <t xml:space="preserve"> 7.1 </t>
  </si>
  <si>
    <t xml:space="preserve"> 100155 </t>
  </si>
  <si>
    <t xml:space="preserve"> 7.2 </t>
  </si>
  <si>
    <t xml:space="preserve"> 96359 </t>
  </si>
  <si>
    <t xml:space="preserve"> 7.3 </t>
  </si>
  <si>
    <t xml:space="preserve"> 96358 </t>
  </si>
  <si>
    <t xml:space="preserve"> 7.4 </t>
  </si>
  <si>
    <t xml:space="preserve"> 101965 </t>
  </si>
  <si>
    <t>PEITORIL LINEAR EM GRANITO OU MÁRMORE, L = 15CM, COMPRIMENTO DE ATÉ 2M, ASSENTADO COM ARGAMASSA 1:6 COM ADITIVO. AF_11/2020</t>
  </si>
  <si>
    <t xml:space="preserve"> 8 </t>
  </si>
  <si>
    <t xml:space="preserve"> 8.1 </t>
  </si>
  <si>
    <t xml:space="preserve"> 150103 </t>
  </si>
  <si>
    <t xml:space="preserve"> 8.2 </t>
  </si>
  <si>
    <t xml:space="preserve"> 150204 </t>
  </si>
  <si>
    <t xml:space="preserve"> 8.4 </t>
  </si>
  <si>
    <t xml:space="preserve"> 120101 </t>
  </si>
  <si>
    <t xml:space="preserve"> 8.5 </t>
  </si>
  <si>
    <t xml:space="preserve"> 89995 </t>
  </si>
  <si>
    <t xml:space="preserve"> 9 </t>
  </si>
  <si>
    <t xml:space="preserve"> 9.1 </t>
  </si>
  <si>
    <t xml:space="preserve"> 160600 </t>
  </si>
  <si>
    <t xml:space="preserve"> 9.2 </t>
  </si>
  <si>
    <t xml:space="preserve"> 160602 </t>
  </si>
  <si>
    <t xml:space="preserve"> 9.3 </t>
  </si>
  <si>
    <t xml:space="preserve"> 160963 </t>
  </si>
  <si>
    <t xml:space="preserve"> 9.4 </t>
  </si>
  <si>
    <t xml:space="preserve"> 160969 </t>
  </si>
  <si>
    <t xml:space="preserve"> 9.5 </t>
  </si>
  <si>
    <t xml:space="preserve"> 10 </t>
  </si>
  <si>
    <t xml:space="preserve"> 10.3 </t>
  </si>
  <si>
    <t xml:space="preserve"> 10.5 </t>
  </si>
  <si>
    <t xml:space="preserve"> 10.6 </t>
  </si>
  <si>
    <t xml:space="preserve"> 10.7 </t>
  </si>
  <si>
    <t xml:space="preserve"> 11 </t>
  </si>
  <si>
    <t>REVESTIMENTOS DE PAREDES</t>
  </si>
  <si>
    <t xml:space="preserve"> 11.1 </t>
  </si>
  <si>
    <t xml:space="preserve"> 200101 </t>
  </si>
  <si>
    <t xml:space="preserve"> 11.2 </t>
  </si>
  <si>
    <t xml:space="preserve"> 200103 </t>
  </si>
  <si>
    <t xml:space="preserve"> 11.3 </t>
  </si>
  <si>
    <t xml:space="preserve"> 200499 </t>
  </si>
  <si>
    <t xml:space="preserve"> 12 </t>
  </si>
  <si>
    <t xml:space="preserve"> 12.1 </t>
  </si>
  <si>
    <t xml:space="preserve"> 210498 </t>
  </si>
  <si>
    <t xml:space="preserve"> 12.2 </t>
  </si>
  <si>
    <t xml:space="preserve"> 210499 </t>
  </si>
  <si>
    <t xml:space="preserve"> 12.3 </t>
  </si>
  <si>
    <t xml:space="preserve"> 210506 </t>
  </si>
  <si>
    <t xml:space="preserve"> 13 </t>
  </si>
  <si>
    <t xml:space="preserve"> 13.1 </t>
  </si>
  <si>
    <t xml:space="preserve"> 220101 </t>
  </si>
  <si>
    <t xml:space="preserve"> 13.2 </t>
  </si>
  <si>
    <t xml:space="preserve"> 220104 </t>
  </si>
  <si>
    <t xml:space="preserve"> 13.3 </t>
  </si>
  <si>
    <t xml:space="preserve"> 220201 </t>
  </si>
  <si>
    <t xml:space="preserve"> 13.4 </t>
  </si>
  <si>
    <t xml:space="preserve"> 220920 </t>
  </si>
  <si>
    <t xml:space="preserve"> 13.5 </t>
  </si>
  <si>
    <t xml:space="preserve"> 221004 </t>
  </si>
  <si>
    <t xml:space="preserve"> 13.6 </t>
  </si>
  <si>
    <t xml:space="preserve"> 221101 </t>
  </si>
  <si>
    <t xml:space="preserve"> 13.7 </t>
  </si>
  <si>
    <t xml:space="preserve"> 221102 </t>
  </si>
  <si>
    <t xml:space="preserve"> 13.8 </t>
  </si>
  <si>
    <t xml:space="preserve"> 221104 </t>
  </si>
  <si>
    <t xml:space="preserve"> 13.11 </t>
  </si>
  <si>
    <t xml:space="preserve"> 101727 </t>
  </si>
  <si>
    <t>PISO VINÍLICO SEMI-FLEXÍVEL EM PLACAS, PADRÃO LISO, ESPESSURA 3,2 MM, FIXADO COM COLA. AF_09/2020</t>
  </si>
  <si>
    <t xml:space="preserve"> 14 </t>
  </si>
  <si>
    <t xml:space="preserve"> 14.1 </t>
  </si>
  <si>
    <t xml:space="preserve"> 91307 </t>
  </si>
  <si>
    <t>FECHADURA DE EMBUTIR PARA PORTAS INTERNAS, COMPLETA, ACABAMENTO PADRÃO POPULAR, COM EXECUÇÃO DE FURO - FORNECIMENTO E INSTALAÇÃO. AF_12/2019</t>
  </si>
  <si>
    <t xml:space="preserve"> 15 </t>
  </si>
  <si>
    <t xml:space="preserve"> 15.1 </t>
  </si>
  <si>
    <t xml:space="preserve"> 250101 </t>
  </si>
  <si>
    <t xml:space="preserve"> 15.2 </t>
  </si>
  <si>
    <t xml:space="preserve"> 250102 </t>
  </si>
  <si>
    <t xml:space="preserve"> 16 </t>
  </si>
  <si>
    <t xml:space="preserve"> 16.1 </t>
  </si>
  <si>
    <t xml:space="preserve"> 261001 </t>
  </si>
  <si>
    <t xml:space="preserve"> 16.2 </t>
  </si>
  <si>
    <t xml:space="preserve"> 261300 </t>
  </si>
  <si>
    <t xml:space="preserve"> 16.3 </t>
  </si>
  <si>
    <t xml:space="preserve"> 261503 </t>
  </si>
  <si>
    <t xml:space="preserve"> 16.4 </t>
  </si>
  <si>
    <t xml:space="preserve"> 261550 </t>
  </si>
  <si>
    <t xml:space="preserve"> 16.5 </t>
  </si>
  <si>
    <t xml:space="preserve"> 261609 </t>
  </si>
  <si>
    <t xml:space="preserve"> 16.6 </t>
  </si>
  <si>
    <t xml:space="preserve"> 261703 </t>
  </si>
  <si>
    <t xml:space="preserve"> 16.7 </t>
  </si>
  <si>
    <t xml:space="preserve"> 102489 </t>
  </si>
  <si>
    <t xml:space="preserve"> 17 </t>
  </si>
  <si>
    <t xml:space="preserve"> 17.1 </t>
  </si>
  <si>
    <t xml:space="preserve"> 270501 </t>
  </si>
  <si>
    <t xml:space="preserve"> 17.2 </t>
  </si>
  <si>
    <t xml:space="preserve"> 270804 </t>
  </si>
  <si>
    <t xml:space="preserve"> 17.3 </t>
  </si>
  <si>
    <t xml:space="preserve"> 271500 </t>
  </si>
  <si>
    <t>RE</t>
  </si>
  <si>
    <t xml:space="preserve"> 17.4 </t>
  </si>
  <si>
    <t xml:space="preserve"> 271502 </t>
  </si>
  <si>
    <t xml:space="preserve"> 18 </t>
  </si>
  <si>
    <t xml:space="preserve"> 18.1 </t>
  </si>
  <si>
    <t xml:space="preserve"> 18.2 </t>
  </si>
  <si>
    <t xml:space="preserve"> 18.3 </t>
  </si>
  <si>
    <t xml:space="preserve"> 18.4 </t>
  </si>
  <si>
    <t xml:space="preserve"> 18.5 </t>
  </si>
  <si>
    <t xml:space="preserve"> 18.6 </t>
  </si>
  <si>
    <t xml:space="preserve"> 18.7 </t>
  </si>
  <si>
    <t xml:space="preserve"> 18.8 </t>
  </si>
  <si>
    <t xml:space="preserve"> 18.9 </t>
  </si>
  <si>
    <t xml:space="preserve"> 18.10 </t>
  </si>
  <si>
    <t xml:space="preserve"> 18.11 </t>
  </si>
  <si>
    <t xml:space="preserve"> 18.12 </t>
  </si>
  <si>
    <t xml:space="preserve"> 18.13 </t>
  </si>
  <si>
    <t xml:space="preserve"> 18.14 </t>
  </si>
  <si>
    <t xml:space="preserve"> 18.15 </t>
  </si>
  <si>
    <t xml:space="preserve"> 18.16 </t>
  </si>
  <si>
    <t>RAPHIS EXCELSA - MUDAS COM ALTURA APROXIMADA DE 2,0 M</t>
  </si>
  <si>
    <t xml:space="preserve"> 18.17 </t>
  </si>
  <si>
    <t xml:space="preserve"> 18.18 </t>
  </si>
  <si>
    <t>PALMEIRA PHOENIX - MUDAS COM ALTURA APROXIMADA DE 2,5 M</t>
  </si>
  <si>
    <t xml:space="preserve"> 18.19 </t>
  </si>
  <si>
    <t>ABACAXI ROXO</t>
  </si>
  <si>
    <t xml:space="preserve"> 18.20 </t>
  </si>
  <si>
    <t xml:space="preserve"> 18.21 </t>
  </si>
  <si>
    <t>COLOCASIA ESCULENTA - INHAME ROXO - MUDAS BEM FORMADAS, ENTOUCEIRADAS, COM ALTURA APROXIMADA DE 40 CM</t>
  </si>
  <si>
    <t xml:space="preserve"> 18.22 </t>
  </si>
  <si>
    <t>NEPHROLEPIS OBLITERATA 'KIMBERLY QUEEN'- SAMAMBAIA DE SOL - MUDAS BEM FORMADAS, VASO CHEIO, COM ALTURA APROXIMADA DE 40 CM</t>
  </si>
  <si>
    <t xml:space="preserve"> 18.23 </t>
  </si>
  <si>
    <t>PHILODENDRON PINNATIFIDUM - FILODENDRO DE FOLHA DE PENTE - MUDAS BEM FORMADAS COM ALTURA APROXIMADA DE 40 CM</t>
  </si>
  <si>
    <t xml:space="preserve"> 18.24 </t>
  </si>
  <si>
    <t xml:space="preserve"> 18.25 </t>
  </si>
  <si>
    <t>TRADESCHANTIA ZEBRINA - LAMBARI ROXO - MUDAS BEM FORMADAS DESENVOLVIDAS NA CUIA 21</t>
  </si>
  <si>
    <t xml:space="preserve"> 18.26 </t>
  </si>
  <si>
    <t xml:space="preserve"> 00043190 </t>
  </si>
  <si>
    <t>AR CONDICIONADO SPLIT ON/OFF, HI-WALL (PAREDE), 12000 BTUS/H, CICLO FRIO, 60 HZ, CLASSIFICACAO ENERGETICA A - SELO PROCEL, GAS HFC, CONTROLE S/ FIO</t>
  </si>
  <si>
    <t xml:space="preserve"> 18.27 </t>
  </si>
  <si>
    <t xml:space="preserve"> 18.28 </t>
  </si>
  <si>
    <t>Total sem BDI</t>
  </si>
  <si>
    <t>Total do BDI</t>
  </si>
  <si>
    <t>Total Geral</t>
  </si>
  <si>
    <t xml:space="preserve"> COMP. 01 </t>
  </si>
  <si>
    <t xml:space="preserve"> COMP. 18 </t>
  </si>
  <si>
    <t xml:space="preserve"> COMP. 45 </t>
  </si>
  <si>
    <t xml:space="preserve"> COMP. 46 </t>
  </si>
  <si>
    <t xml:space="preserve"> COMP. 47 </t>
  </si>
  <si>
    <t xml:space="preserve"> COMP. 48 </t>
  </si>
  <si>
    <t xml:space="preserve"> COMP. 49 </t>
  </si>
  <si>
    <t xml:space="preserve"> COMP. 50 </t>
  </si>
  <si>
    <t xml:space="preserve"> COMP. 51 </t>
  </si>
  <si>
    <t xml:space="preserve"> COMP. 52 </t>
  </si>
  <si>
    <t xml:space="preserve"> COMP. 53 </t>
  </si>
  <si>
    <t xml:space="preserve"> COMP. 54 </t>
  </si>
  <si>
    <t xml:space="preserve"> COMP. 02 </t>
  </si>
  <si>
    <t xml:space="preserve"> COMP. 13 </t>
  </si>
  <si>
    <t xml:space="preserve"> COMP. 03 </t>
  </si>
  <si>
    <t xml:space="preserve"> COMP. 04 </t>
  </si>
  <si>
    <t xml:space="preserve"> COMP. 14 </t>
  </si>
  <si>
    <t xml:space="preserve"> COMP. 17 </t>
  </si>
  <si>
    <t xml:space="preserve"> COMP. 06 </t>
  </si>
  <si>
    <t xml:space="preserve"> COMP. 07 </t>
  </si>
  <si>
    <t xml:space="preserve"> COMP. 08 </t>
  </si>
  <si>
    <t xml:space="preserve"> COMP. 09 </t>
  </si>
  <si>
    <t xml:space="preserve"> COMP. 10 </t>
  </si>
  <si>
    <t xml:space="preserve"> COMP. 11 </t>
  </si>
  <si>
    <t xml:space="preserve"> COMP. 12 </t>
  </si>
  <si>
    <t xml:space="preserve"> COMP. 37 </t>
  </si>
  <si>
    <t xml:space="preserve"> COMP. 55 </t>
  </si>
  <si>
    <t xml:space="preserve"> COMP. 56 </t>
  </si>
  <si>
    <t xml:space="preserve"> COMP. 57 </t>
  </si>
  <si>
    <t xml:space="preserve"> COMP. 58 </t>
  </si>
  <si>
    <t xml:space="preserve"> COMP. 59 </t>
  </si>
  <si>
    <t xml:space="preserve"> COMP. 60 </t>
  </si>
  <si>
    <t xml:space="preserve"> COMP. 61 </t>
  </si>
  <si>
    <t xml:space="preserve"> COMP. 21 </t>
  </si>
  <si>
    <t xml:space="preserve"> COMP. 16 </t>
  </si>
  <si>
    <t xml:space="preserve"> COMP. 15 </t>
  </si>
  <si>
    <t xml:space="preserve"> COMP. 20 </t>
  </si>
  <si>
    <t xml:space="preserve"> COTAÇÃO 53 </t>
  </si>
  <si>
    <t xml:space="preserve"> COMP. 42 </t>
  </si>
  <si>
    <t xml:space="preserve"> COMP. 43 </t>
  </si>
  <si>
    <t xml:space="preserve"> COTAÇÃO 24 </t>
  </si>
  <si>
    <t xml:space="preserve"> COMP. 19 </t>
  </si>
  <si>
    <t xml:space="preserve"> COTAÇÃO 08 </t>
  </si>
  <si>
    <t xml:space="preserve"> COTAÇÃO 09 </t>
  </si>
  <si>
    <t xml:space="preserve"> COTAÇÃO 10 </t>
  </si>
  <si>
    <t xml:space="preserve"> COMP. 38 </t>
  </si>
  <si>
    <t xml:space="preserve"> COMP. 39 </t>
  </si>
  <si>
    <t xml:space="preserve"> COMP. 40 </t>
  </si>
  <si>
    <t xml:space="preserve"> COMP. 22 </t>
  </si>
  <si>
    <t xml:space="preserve"> COMP. 23 </t>
  </si>
  <si>
    <t xml:space="preserve"> COMP. 24 </t>
  </si>
  <si>
    <t xml:space="preserve"> COMP. 41 </t>
  </si>
  <si>
    <t xml:space="preserve"> COMP. 44 </t>
  </si>
  <si>
    <t xml:space="preserve"> COMP. 25 </t>
  </si>
  <si>
    <t xml:space="preserve"> COMP. 26 </t>
  </si>
  <si>
    <t xml:space="preserve"> COMP. 27 </t>
  </si>
  <si>
    <t xml:space="preserve"> COMP. 28 </t>
  </si>
  <si>
    <t xml:space="preserve"> COMP. 29 </t>
  </si>
  <si>
    <t xml:space="preserve"> COMP. 30 </t>
  </si>
  <si>
    <t xml:space="preserve"> COMP. 31 </t>
  </si>
  <si>
    <t xml:space="preserve"> COMP. 32 </t>
  </si>
  <si>
    <t xml:space="preserve"> COMP. 33 </t>
  </si>
  <si>
    <t xml:space="preserve"> COMP. 34 </t>
  </si>
  <si>
    <t xml:space="preserve"> COMP. 35 </t>
  </si>
  <si>
    <t xml:space="preserve"> COMP. 36 </t>
  </si>
  <si>
    <t xml:space="preserve"> COMP. 62 </t>
  </si>
  <si>
    <t xml:space="preserve"> COMP. 05 </t>
  </si>
  <si>
    <t xml:space="preserve"> COMP. 63 </t>
  </si>
  <si>
    <t xml:space="preserve"> COTAÇÃO 01 </t>
  </si>
  <si>
    <t xml:space="preserve"> COTAÇÃO 02 </t>
  </si>
  <si>
    <t xml:space="preserve"> COTAÇÃO 03 </t>
  </si>
  <si>
    <t xml:space="preserve"> COTAÇÃO 04 </t>
  </si>
  <si>
    <t xml:space="preserve"> COTAÇÃO 05 </t>
  </si>
  <si>
    <t xml:space="preserve"> COTAÇÃO 06 </t>
  </si>
  <si>
    <t xml:space="preserve"> COTAÇÃO 07 </t>
  </si>
  <si>
    <t xml:space="preserve"> COTAÇÃO 20 </t>
  </si>
  <si>
    <t xml:space="preserve"> COTAÇÃO 21 </t>
  </si>
  <si>
    <t xml:space="preserve"> COTAÇÃO 22 </t>
  </si>
  <si>
    <t xml:space="preserve"> COTAÇÃO 23 </t>
  </si>
  <si>
    <t xml:space="preserve"> COTAÇÃO 59 </t>
  </si>
  <si>
    <t xml:space="preserve"> COTAÇÃO 39 </t>
  </si>
  <si>
    <t xml:space="preserve"> COTAÇÃO 40 </t>
  </si>
  <si>
    <t xml:space="preserve"> COTAÇÃO 41 </t>
  </si>
  <si>
    <t xml:space="preserve"> COTAÇÃO 42 </t>
  </si>
  <si>
    <t xml:space="preserve"> COTAÇÃO 43 </t>
  </si>
  <si>
    <t xml:space="preserve"> COTAÇÃO 44 </t>
  </si>
  <si>
    <t xml:space="preserve"> COTAÇÃO 45 </t>
  </si>
  <si>
    <t xml:space="preserve"> COTAÇÃO 46 </t>
  </si>
  <si>
    <t xml:space="preserve"> COTAÇÃO 47 </t>
  </si>
  <si>
    <t xml:space="preserve"> COTAÇÃO 48 </t>
  </si>
  <si>
    <t xml:space="preserve"> COTAÇÃO 49 </t>
  </si>
  <si>
    <t xml:space="preserve"> COTAÇÃO 50 </t>
  </si>
  <si>
    <t xml:space="preserve"> COTAÇÃO 51 </t>
  </si>
  <si>
    <t xml:space="preserve"> COTAÇÃO 56 </t>
  </si>
  <si>
    <t xml:space="preserve"> COTAÇÃO 26 </t>
  </si>
  <si>
    <t>TOTAIS</t>
  </si>
  <si>
    <t>DEMONSTRATIVO BDI</t>
  </si>
  <si>
    <r>
      <t xml:space="preserve">LOCAL: </t>
    </r>
    <r>
      <rPr>
        <sz val="10"/>
        <rFont val="Arial"/>
        <family val="2"/>
      </rPr>
      <t>FAZENDA FONTES DO SABER, SETOR UNIVERSITÁRIO - UNIRV, CAMPUS RIO VERDE</t>
    </r>
  </si>
  <si>
    <t>SEGURO + GARANTIA=</t>
  </si>
  <si>
    <t>RISCO=</t>
  </si>
  <si>
    <t>DESPESAS FINANCEIRAS=</t>
  </si>
  <si>
    <t>ADMINISTRAÇÃO CENTRAL=</t>
  </si>
  <si>
    <t>TRIBUTOS (PIS:0,65% CONFINS: 3,0% ISS: 3,0%)=</t>
  </si>
  <si>
    <t>LUCRO=</t>
  </si>
  <si>
    <t>INSS=</t>
  </si>
  <si>
    <t>TOTAL BDI</t>
  </si>
  <si>
    <t>TRIBUTOS =</t>
  </si>
  <si>
    <t>LUCRO =</t>
  </si>
  <si>
    <r>
      <t xml:space="preserve">OBRA: </t>
    </r>
    <r>
      <rPr>
        <sz val="10"/>
        <rFont val="Arial"/>
        <family val="2"/>
      </rPr>
      <t>REFORMA DO BLOCO VII PARA IMPLANTAÇÃO DO CENTRO DE INOVAÇÃO, PESQUISA E PÓS GRADUAÇÃO DA UNIVERSIDADE DE RIO VERDE - CAMPUS RIO VERDE</t>
    </r>
  </si>
  <si>
    <r>
      <t xml:space="preserve">DATA: </t>
    </r>
    <r>
      <rPr>
        <sz val="10"/>
        <rFont val="Arial"/>
        <family val="2"/>
      </rPr>
      <t>12/07/2023</t>
    </r>
  </si>
  <si>
    <t xml:space="preserve">O solo deverá ser preparado a uma profundidade de 30 cm. O preparo deve envolver a remoção de plantas invasoras, e as operações de revolvimento do solo e incorporação de substrato, calcário, adubo mineral NPK 10-10-10 e adubo orgânico nas quantidades especificadas nesta composição. As mudas de grama amendoim devem estar formadas em saquinhos plásticos, com quantidade adequada de folhagens, coloração típica da espécie, ausência de pragas, doenças e sintomas de deficiência nutricional. O espaçamento de plantio deve ser de 15 x 15cm. </t>
  </si>
  <si>
    <t>A grama São Carlos deverá ser plantada conforme projeto de paisagismo apresentado. O solo deverá ser revolvido na camada superficial, preparado com terra vegetal e adubado com o fertilizante NPK 10-10-10 para receber as placas de grama, as quais deverão apresentar-se em coloração verde característica da espécie, com ausência de pragas, doenças e sintomas de deficiência nutricional. As placas de grama devem ser plantadas uma ao lado da outra, não havendo espaço entre elas, e ocupando-se toda a área de acordo com projeto. Deverá ser irrigada até a entrega final e realizados os devidos cuidados para que seja garantida sua resistência a longo prazo.</t>
  </si>
  <si>
    <t>As mudas devem ser plantadas de acordo com a localização determinada no projeto paisagístico apresentado. A abertura das covas deve ser feita em tamanho 60 x 60 x 60cm. Deve-se utilizar substrato comercial, calcário, adubo mineral NPK 10-10-10 e adubo orgânico nas quantidades especificadas nesta composição, sendo que o preenchimento das covas deve ser feito com a mistura homogênea desses materiais ao solo.</t>
  </si>
  <si>
    <t xml:space="preserve">As mudas devem ser plantadas de acordo com a localização determinada no projeto paisagístico apresentado. A abertura das covas deve ser feita em tamanho 60 x 60 x 60cm. Deve-se utilizar substrato comercial, calcário, adubo mineral NPK 10-10-10 e adubo orgânico nas quantidades especificadas nesta composição, sendo que o preenchimento das covas deve ser feito com a mistura homogênea desses materiais ao solo. </t>
  </si>
  <si>
    <t xml:space="preserve">A contratada deverá fazer a instalação dos vasos especificados na parede da fachada frontal do prédio de acordo com o projeto paisagístico apresentado. A posição e locação dos vasos pode ser encontrada em projeto de paisagismo e quaisquer dúvidas correlatas deverão ser sanadas diretamente com a FISCALIZAÇÃO de obras.  </t>
  </si>
  <si>
    <t xml:space="preserve">O fundo dos vasos deverá ser preenchido em toda sua extensão com a manta do tipo bidim. Todo o volume dos vasos deverá ser preenchido com substrato comercial para o plantio das mudas. </t>
  </si>
  <si>
    <t>Mudas com ausência de pragas, doenças e sintomas de deficiência nutricional.</t>
  </si>
  <si>
    <t>Mudas com diâmetro aproximado de 0,90 m de diâmetro, com ausência de pragas, doenças e sintomas de deficiência nutricional.</t>
  </si>
  <si>
    <t>Mudas com altura aproximada de 2,0 m, com ausência de pragas, doenças e sintomas de deficiência nutricional.</t>
  </si>
  <si>
    <t>Mudas com altura aproximada de 2,5 m, com ausência de pragas, doenças e sintomas de deficiência nutricional</t>
  </si>
  <si>
    <t>Mudas bem formadas, acondicionadas em saquinhos, com ausência de pragas, doenças e sintomas de deficiência nutricional.</t>
  </si>
  <si>
    <t>Mudas bem formadas, entouceiradas, com altura aproximada de 40 cm, com ausência de pragas, doenças e sintomas de deficiência nutricional. Plantio nos vasos da parede verde.</t>
  </si>
  <si>
    <t>Mudas bem formadas, vaso cheio, com altura aproximada de 40 cm, com ausência de pragas, doenças e sintomas de deficiência nutricional. Plantio nos vasos da parede verde.</t>
  </si>
  <si>
    <t>Mudas bem formadas com altura aproximada de 40 cm, com ausência de pragas, doenças e sintomas de deficiência nutricional. Plantio nos vasos da parede verde.</t>
  </si>
  <si>
    <t>Mudas bem formadas desenvolvidas no pote 11, com ausência de pragas, doenças e sintomas de deficiência nutricional. Plantio nos vasos da parede verde.</t>
  </si>
  <si>
    <t>Mudas bem formadas desenvolvidas na cuia 21, com ausência de pragas, doenças e sintomas de deficiência nutricional. Plantio nos vasos da parede verde.</t>
  </si>
  <si>
    <t>A CONTRATADA pintará todas as paredes internas e externas com tinta látex acrílico. Deve ser verificado se a superfície a ser pintada está limpa (poeira, argamassa, etc.), se não estiverem, antes de pintar, limpar. O item será executado em boa técnica e com tinta de primeira qualidade. Cor será definida com a fiscalização e reitoria.
Será de responsabilidade da CONTRATADA cobrir e proteger devidamente todos os equipamentos e superfícies adjacentes àquelas que receberão a pintura, garantindo assim a segurança e preservação dos objetos e áreas próximas durante o processo. O cuidado com a proteção adequada dos equipamentos e superfícies adjacentes é essencial para evitar danos indesejados ou respingos de tinta, assegurando que somente as áreas designadas sejam afetadas pela pintura.</t>
  </si>
  <si>
    <t>A CONTRATADA deverá emassar todas os locais indicados no projeto e em locais nos quais foram realizados cortes para recuperações de vazamentos. Deverá também, realizar o emassamento em pequenas áreas como em quinas de pilares/portas de forma a garantir o perfeito acabamento. Verificar se a superfície a ser emassada está limpa, livre de argamassa em torrões, se não estiverem, antes de aplicar a massa, fazer a limpeza da área. O item será executado em boa técnica e com massa de primeira qualidade, será bem lixado e não terá sinais de pequenos buracos e ranhuras.
Será de responsabilidade da CONTRATADA cobrir e proteger devidamente todos os equipamentos e superfícies adjacentes àquelas que receberãoo emassamento, garantindo assim a segurança e preservação dos objetos e áreas próximas durante o processo. O cuidado com a proteção adequada dos equipamentos e superfícies adjacentes é essencial para evitar danos indesejados ou respingos de massa.</t>
  </si>
  <si>
    <t>A CONTRATADA deverá realizar a pintura de toda tubulação de incêndio, esquadrias da casa de máquinas (duas faces) e ambientes internos e externos do abrigo dos hidrantes. Deverá ser verificado se a superfície a ser pintada está limpa (poeira, argamassa, etc.), caso não esteja, antes da pintura, limpar devidamente. O item será executado em boa técnica e com tinta de primeira qualidade. As cores serão definidas pela FISCALIZAÇÃO de obras em conjunto com a reitoria, sendo a CONTRATADA informada dentro dos prazos estabelecidos. 
Será de responsabilidade da CONTRATADA cobrir e proteger devidamente todos os equipamentos e superfícies adjacentes àquelas que receberão a pintura, garantindo assim a segurança e preservação dos objetos e áreas próximas durante o processo. O cuidado com a proteção adequada dos equipamentos e superfícies adjacentes é essencial para evitar danos indesejados ou respingos de tinta, assegurando que somente as áreas designadas sejam afetadas pela pintura.</t>
  </si>
  <si>
    <t>A CONTRATADA deverá realizar a pintura dos barrados existentes na edificação com tinta esmalte sintético. Deve ser verificado se a superfície a ser pintada está limpa (poeira, argamassa, etc.), se não estiverem, antes de pintar, limpar. O item será executado em boa técnica e com tinta de primeira qualidade. As cores serão definidas pela FISCALIZAÇÃO de obras em conjunto com a reitoria, sendo a CONTRATADA informada dentro dos prazos estabelecidos.
Será de responsabilidade da CONTRATADA cobrir e proteger devidamente todos os equipamentos e superfícies adjacentes àquelas que receberão a pintura. Garantindo assim a segurança e preservação dos objetos e áreas próximas durante o processo. O cuidado com a proteção adequada dos equipamentos e superfícies adjacentes é essencial para evitar danos indesejados ou respingos de tinta, assegurando que somente as áreas designadas sejam afetadas pela pintura.</t>
  </si>
  <si>
    <t>A CONTRATADA deverá pintar as superfícies dos pisos calçadas e passeios com tinta poliesportiva. Deve ser verificado se a superfície a ser pintada está limpa (poeira, argamassa, etc.); se não estiverem, antes de pintar limpar. O item será executado em boa técnica e com tinta de primeira qualidade. As cores serão definidas pela FISCALIZAÇÃO de obras em conjunto com a reitoria.
Será de responsabilidade da CONTRATADA cobrir e proteger devidamente todos os equipamentos e superfícies adjacentes àquelas que receberão a pintura. Garantindo assim a segurança e preservação dos objetos e áreas próximas durante o processo. O cuidado com a proteção adequada dos equipamentos e superfícies adjacentes é essencial para evitar danos indesejados ou respingos de tinta, assegurando que somente as áreas designadas sejam afetadas pela pintura.</t>
  </si>
  <si>
    <r>
      <rPr>
        <b/>
        <sz val="10"/>
        <rFont val="Arial"/>
        <family val="2"/>
      </rPr>
      <t>II. DISPOSIÇÕES GERAIS</t>
    </r>
    <r>
      <rPr>
        <sz val="10"/>
        <rFont val="Arial"/>
        <family val="2"/>
      </rPr>
      <t xml:space="preserve">
1. Foram disponibilizados os seguintes projetos:
•        Projeto de Arquitetura;
•        Projeto Estrutura Metálica - Reforço da Cobertura Existente
•        Projeto Estrutura Metálica - Nova Cobertura
•        Projeto Pluvial                                                                                                                                                                                             •        Projeto Água Fria;                                                                                                                                                                                                                    •        Projeto Paisagismo.
•        Projeto Elétrico</t>
    </r>
  </si>
  <si>
    <r>
      <t xml:space="preserve">7. Todas as despesas relativas à instalação da obra, execução dos serviços, materiais, mão-de-obra, equipamentos e ferramentas, óleos lubrificantes, combustíveis e fretes, transportes horizontais e verticais, impostos, taxas e emolumentos, leis sociais etc, bem como providências quanto a legalização da obra perante os órgãos municipais, estaduais ou federais, correrão por conta da CONTRATADA.
8. Os serviços serão pagos de acordo com as medições, aprovada pelo Departamento de Engenharia e Obra da UniRV de Rio Verde/GO, através da fiscalização da obra. 
9. Os serviços rejeitados pela fiscalização devido ao uso de materiais que não sejam os especificados e/ou materiais que não sejam qualificados como de primeira qualidade ou serviços considerados como mal executados, deverão ser refeitos corretamente, com o emprego de materiais aprovados pela fiscalização e com a devida mão-de-obra qualificada, em tempo hábil para que não venha a prejudicar o Cronograma global dos serviços, arcando a CONTRATADA com o ônus decorrente do fato.
</t>
    </r>
    <r>
      <rPr>
        <b/>
        <sz val="10"/>
        <rFont val="Arial"/>
        <family val="2"/>
      </rPr>
      <t>10. A CONTRATADA é responsável pela proteção de todos os equipamentos (exemplo: ar condicionado) durante a realização dos serviços de pintura.</t>
    </r>
    <r>
      <rPr>
        <sz val="10"/>
        <rFont val="Arial"/>
        <family val="2"/>
      </rPr>
      <t xml:space="preserve">
10.  No caso de dúvidas, erros, incoerências ou divergências que possam ser levantadas através deste caderno de encargos e especificações ou projetos, a fiscalização de obras.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</si>
</sst>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0"/>
    <numFmt numFmtId="167" formatCode="0.0000"/>
    <numFmt numFmtId="168" formatCode="0.00_ ;\-0.00\ "/>
    <numFmt numFmtId="169" formatCode="&quot;R$&quot;\ #,##0.00"/>
    <numFmt numFmtId="170" formatCode="#,##0.0000000"/>
    <numFmt numFmtId="171" formatCode="#,##0.00\ %"/>
    <numFmt numFmtId="172" formatCode="#,##0.000\ %"/>
  </numFmts>
  <fonts count="73">
    <font>
      <sz val="11"/>
      <color theme="1"/>
      <name val="Calibri"/>
      <charset val="134"/>
      <scheme val="minor"/>
    </font>
    <font>
      <sz val="11"/>
      <color theme="1"/>
      <name val="Calibri"/>
      <family val="2"/>
      <scheme val="minor"/>
    </font>
    <font>
      <sz val="10"/>
      <name val="Arial"/>
      <family val="2"/>
    </font>
    <font>
      <b/>
      <sz val="12"/>
      <name val="Arial"/>
      <family val="2"/>
    </font>
    <font>
      <sz val="12"/>
      <name val="Arial"/>
      <family val="2"/>
    </font>
    <font>
      <sz val="10"/>
      <color rgb="FF010000"/>
      <name val="Arial"/>
      <family val="2"/>
    </font>
    <font>
      <sz val="12"/>
      <color rgb="FF000000"/>
      <name val="Arial"/>
      <family val="2"/>
    </font>
    <font>
      <b/>
      <sz val="12"/>
      <color rgb="FF000000"/>
      <name val="Arial"/>
      <family val="2"/>
    </font>
    <font>
      <b/>
      <sz val="10"/>
      <color rgb="FF000000"/>
      <name val="Arial"/>
      <family val="2"/>
    </font>
    <font>
      <b/>
      <i/>
      <sz val="12"/>
      <name val="Arial"/>
      <family val="2"/>
    </font>
    <font>
      <b/>
      <i/>
      <sz val="12"/>
      <color rgb="FF000000"/>
      <name val="Arial"/>
      <family val="2"/>
    </font>
    <font>
      <sz val="10"/>
      <name val="Times New Roman"/>
      <family val="1"/>
    </font>
    <font>
      <sz val="11"/>
      <color indexed="8"/>
      <name val="Calibri"/>
      <family val="2"/>
    </font>
    <font>
      <u/>
      <sz val="11"/>
      <color theme="10"/>
      <name val="Calibri"/>
      <family val="2"/>
    </font>
    <font>
      <b/>
      <sz val="15"/>
      <color indexed="62"/>
      <name val="Calibri"/>
      <family val="2"/>
    </font>
    <font>
      <sz val="11"/>
      <color theme="1"/>
      <name val="Calibri"/>
      <family val="2"/>
      <scheme val="minor"/>
    </font>
    <font>
      <sz val="10"/>
      <color rgb="FF000000"/>
      <name val="Arial"/>
      <family val="2"/>
    </font>
    <font>
      <sz val="12"/>
      <name val="Arial"/>
      <family val="2"/>
    </font>
    <font>
      <sz val="10"/>
      <color rgb="FF010000"/>
      <name val="Arial"/>
      <family val="2"/>
    </font>
    <font>
      <b/>
      <sz val="12"/>
      <name val="Arial"/>
      <family val="2"/>
    </font>
    <font>
      <b/>
      <sz val="12"/>
      <name val="Times New Roman"/>
      <family val="1"/>
    </font>
    <font>
      <sz val="12"/>
      <name val="Times New Roman"/>
      <family val="1"/>
    </font>
    <font>
      <sz val="12"/>
      <color rgb="FF000080"/>
      <name val="Times New Roman"/>
      <family val="1"/>
    </font>
    <font>
      <sz val="12"/>
      <color theme="1"/>
      <name val="Times New Roman"/>
      <family val="1"/>
    </font>
    <font>
      <sz val="12"/>
      <color rgb="FF222222"/>
      <name val="Times New Roman"/>
      <family val="1"/>
    </font>
    <font>
      <sz val="12"/>
      <color rgb="FF212529"/>
      <name val="Times New Roman"/>
      <family val="1"/>
    </font>
    <font>
      <b/>
      <sz val="12"/>
      <color indexed="8"/>
      <name val="Arial"/>
      <family val="2"/>
    </font>
    <font>
      <sz val="8"/>
      <name val="Calibri"/>
      <family val="2"/>
      <scheme val="minor"/>
    </font>
    <font>
      <b/>
      <sz val="10"/>
      <name val="Arial"/>
      <family val="2"/>
    </font>
    <font>
      <sz val="10"/>
      <color theme="1"/>
      <name val="Calibri"/>
      <family val="2"/>
      <scheme val="minor"/>
    </font>
    <font>
      <sz val="10"/>
      <name val="Arial"/>
      <family val="2"/>
    </font>
    <font>
      <b/>
      <i/>
      <sz val="10"/>
      <name val="Arial"/>
      <family val="2"/>
    </font>
    <font>
      <b/>
      <i/>
      <sz val="10"/>
      <color rgb="FF000000"/>
      <name val="Arial"/>
      <family val="2"/>
    </font>
    <font>
      <i/>
      <sz val="10"/>
      <color rgb="FF000000"/>
      <name val="Arial"/>
      <family val="2"/>
    </font>
    <font>
      <b/>
      <sz val="10"/>
      <color rgb="FF000000"/>
      <name val="Arial"/>
      <family val="2"/>
    </font>
    <font>
      <sz val="9"/>
      <name val="Arial"/>
      <family val="2"/>
    </font>
    <font>
      <sz val="9"/>
      <color rgb="FF010000"/>
      <name val="Arial"/>
      <family val="2"/>
    </font>
    <font>
      <b/>
      <sz val="9"/>
      <color rgb="FF010000"/>
      <name val="Arial"/>
      <family val="2"/>
    </font>
    <font>
      <sz val="9"/>
      <color rgb="FF000000"/>
      <name val="Arial"/>
      <family val="2"/>
    </font>
    <font>
      <sz val="9"/>
      <color theme="1"/>
      <name val="Calibri"/>
      <family val="2"/>
      <scheme val="minor"/>
    </font>
    <font>
      <i/>
      <sz val="9"/>
      <color rgb="FF010000"/>
      <name val="Arial"/>
      <family val="2"/>
    </font>
    <font>
      <sz val="9"/>
      <color theme="1"/>
      <name val="Arial"/>
      <family val="2"/>
    </font>
    <font>
      <b/>
      <sz val="9"/>
      <name val="Arial"/>
      <family val="2"/>
    </font>
    <font>
      <sz val="9"/>
      <color rgb="FFFF0000"/>
      <name val="Arial"/>
      <family val="2"/>
    </font>
    <font>
      <b/>
      <i/>
      <sz val="9"/>
      <color rgb="FF010000"/>
      <name val="Arial"/>
      <family val="2"/>
    </font>
    <font>
      <i/>
      <sz val="9"/>
      <name val="Arial"/>
      <family val="2"/>
    </font>
    <font>
      <b/>
      <i/>
      <sz val="9"/>
      <name val="Arial"/>
      <family val="2"/>
    </font>
    <font>
      <sz val="11"/>
      <name val="Arial"/>
      <family val="2"/>
    </font>
    <font>
      <sz val="9"/>
      <color theme="5"/>
      <name val="Arial"/>
      <family val="2"/>
    </font>
    <font>
      <sz val="10"/>
      <color theme="1"/>
      <name val="Arial"/>
      <family val="2"/>
    </font>
    <font>
      <i/>
      <sz val="9"/>
      <color rgb="FFFF0000"/>
      <name val="Arial"/>
      <family val="2"/>
    </font>
    <font>
      <b/>
      <sz val="9"/>
      <color theme="5" tint="0.39997558519241921"/>
      <name val="Arial"/>
      <family val="2"/>
    </font>
    <font>
      <sz val="10"/>
      <color rgb="FFFF0000"/>
      <name val="Arial"/>
      <family val="2"/>
    </font>
    <font>
      <sz val="9"/>
      <color rgb="FF00B050"/>
      <name val="Arial"/>
      <family val="2"/>
    </font>
    <font>
      <sz val="9"/>
      <color theme="9"/>
      <name val="Arial"/>
      <family val="2"/>
    </font>
    <font>
      <sz val="12"/>
      <color rgb="FF000080"/>
      <name val="Arial"/>
      <family val="2"/>
    </font>
    <font>
      <sz val="12"/>
      <color theme="1"/>
      <name val="Arial"/>
      <family val="2"/>
    </font>
    <font>
      <sz val="12"/>
      <color theme="10"/>
      <name val="Times New Roman"/>
      <family val="1"/>
    </font>
    <font>
      <i/>
      <sz val="10"/>
      <name val="Arial"/>
      <family val="2"/>
    </font>
    <font>
      <sz val="10"/>
      <name val="Calibri"/>
      <family val="2"/>
      <scheme val="minor"/>
    </font>
    <font>
      <b/>
      <sz val="10"/>
      <color rgb="FF010000"/>
      <name val="Arial"/>
      <family val="2"/>
    </font>
    <font>
      <b/>
      <sz val="11"/>
      <name val="Arial"/>
      <family val="2"/>
    </font>
    <font>
      <sz val="12"/>
      <color indexed="8"/>
      <name val="Arial"/>
      <family val="2"/>
    </font>
    <font>
      <sz val="11"/>
      <color rgb="FF000080"/>
      <name val="Arial"/>
      <family val="2"/>
    </font>
    <font>
      <b/>
      <sz val="10"/>
      <color rgb="FF000000"/>
      <name val="Arial"/>
      <family val="1"/>
    </font>
    <font>
      <sz val="10"/>
      <color rgb="FF000000"/>
      <name val="Arial"/>
      <family val="1"/>
    </font>
    <font>
      <b/>
      <sz val="10"/>
      <name val="Arial"/>
      <family val="1"/>
    </font>
    <font>
      <b/>
      <sz val="10"/>
      <color rgb="FFFF0000"/>
      <name val="Arial"/>
      <family val="1"/>
    </font>
    <font>
      <sz val="11"/>
      <color theme="1"/>
      <name val="Calibri"/>
      <charset val="134"/>
      <scheme val="minor"/>
    </font>
    <font>
      <b/>
      <sz val="10"/>
      <color theme="1"/>
      <name val="Arial"/>
      <family val="2"/>
    </font>
    <font>
      <b/>
      <sz val="11"/>
      <name val="Arial"/>
      <family val="1"/>
    </font>
    <font>
      <sz val="10"/>
      <name val="Arial"/>
      <family val="1"/>
    </font>
    <font>
      <sz val="10"/>
      <color rgb="FF000080"/>
      <name val="Arial"/>
      <family val="2"/>
    </font>
  </fonts>
  <fills count="15">
    <fill>
      <patternFill patternType="none"/>
    </fill>
    <fill>
      <patternFill patternType="gray125"/>
    </fill>
    <fill>
      <patternFill patternType="solid">
        <fgColor theme="9" tint="0.39991454817346722"/>
        <bgColor indexed="64"/>
      </patternFill>
    </fill>
    <fill>
      <patternFill patternType="solid">
        <fgColor theme="3" tint="0.59999389629810485"/>
        <bgColor indexed="64"/>
      </patternFill>
    </fill>
    <fill>
      <patternFill patternType="solid">
        <fgColor theme="4" tint="0.3999145481734672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2065187536243"/>
        <bgColor indexed="64"/>
      </patternFill>
    </fill>
    <fill>
      <patternFill patternType="solid">
        <fgColor theme="0"/>
        <bgColor theme="0"/>
      </patternFill>
    </fill>
    <fill>
      <patternFill patternType="solid">
        <fgColor rgb="FF9BC2E6"/>
        <bgColor indexed="64"/>
      </patternFill>
    </fill>
    <fill>
      <patternFill patternType="solid">
        <fgColor rgb="FFFFFFFF"/>
        <bgColor indexed="64"/>
      </patternFill>
    </fill>
    <fill>
      <patternFill patternType="solid">
        <fgColor rgb="FFDDEBF7"/>
        <bgColor indexed="64"/>
      </patternFill>
    </fill>
    <fill>
      <patternFill patternType="solid">
        <fgColor rgb="FFFFFFFF"/>
      </patternFill>
    </fill>
    <fill>
      <patternFill patternType="solid">
        <fgColor rgb="FFD8ECF6"/>
      </patternFill>
    </fill>
    <fill>
      <patternFill patternType="solid">
        <fgColor rgb="FFFCFDFC"/>
      </patternFill>
    </fill>
  </fills>
  <borders count="6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ck">
        <color indexed="49"/>
      </bottom>
      <diagonal/>
    </border>
    <border>
      <left/>
      <right style="thin">
        <color rgb="FF000000"/>
      </right>
      <top style="thin">
        <color rgb="FF000000"/>
      </top>
      <bottom style="thin">
        <color rgb="FF000000"/>
      </bottom>
      <diagonal/>
    </border>
    <border>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top style="medium">
        <color indexed="64"/>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ck">
        <color rgb="FF000000"/>
      </top>
      <bottom/>
      <diagonal/>
    </border>
    <border>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thin">
        <color theme="1"/>
      </left>
      <right style="thin">
        <color theme="1"/>
      </right>
      <top style="thin">
        <color theme="1"/>
      </top>
      <bottom style="thin">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s>
  <cellStyleXfs count="39">
    <xf numFmtId="0" fontId="0" fillId="0" borderId="0"/>
    <xf numFmtId="43" fontId="15" fillId="0" borderId="0" applyFont="0" applyFill="0" applyBorder="0" applyAlignment="0" applyProtection="0"/>
    <xf numFmtId="0" fontId="11" fillId="0" borderId="0" applyNumberFormat="0" applyFill="0" applyBorder="0" applyProtection="0">
      <alignment vertical="top" wrapText="1"/>
    </xf>
    <xf numFmtId="44" fontId="12" fillId="0" borderId="0" applyFont="0" applyFill="0" applyBorder="0" applyAlignment="0" applyProtection="0"/>
    <xf numFmtId="0" fontId="2" fillId="0" borderId="0"/>
    <xf numFmtId="164"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15" fillId="0" borderId="0"/>
    <xf numFmtId="0" fontId="2" fillId="0" borderId="0"/>
    <xf numFmtId="0" fontId="15" fillId="0" borderId="0"/>
    <xf numFmtId="0" fontId="2" fillId="0" borderId="0"/>
    <xf numFmtId="0" fontId="2" fillId="0" borderId="0"/>
    <xf numFmtId="0" fontId="2" fillId="0" borderId="0"/>
    <xf numFmtId="0" fontId="2" fillId="0" borderId="0" applyNumberFormat="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14" fillId="0" borderId="26" applyNumberFormat="0" applyFill="0" applyAlignment="0" applyProtection="0"/>
    <xf numFmtId="165"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9" fontId="68" fillId="0" borderId="0" applyFont="0" applyFill="0" applyBorder="0" applyAlignment="0" applyProtection="0"/>
  </cellStyleXfs>
  <cellXfs count="685">
    <xf numFmtId="0" fontId="0" fillId="0" borderId="0" xfId="0"/>
    <xf numFmtId="0" fontId="0" fillId="6" borderId="0" xfId="0" applyFill="1"/>
    <xf numFmtId="0" fontId="0" fillId="0" borderId="0" xfId="0" applyAlignment="1">
      <alignment horizontal="center"/>
    </xf>
    <xf numFmtId="0" fontId="0" fillId="0" borderId="0" xfId="0" applyAlignment="1">
      <alignment horizontal="left"/>
    </xf>
    <xf numFmtId="0" fontId="5" fillId="0" borderId="20" xfId="0" applyFont="1" applyBorder="1" applyAlignment="1">
      <alignment horizontal="left" vertical="center" wrapText="1"/>
    </xf>
    <xf numFmtId="0" fontId="5" fillId="0" borderId="8" xfId="0" applyFont="1" applyBorder="1" applyAlignment="1">
      <alignment horizontal="left" vertical="center" wrapText="1"/>
    </xf>
    <xf numFmtId="0" fontId="21" fillId="6" borderId="8" xfId="2" applyFont="1" applyFill="1" applyBorder="1" applyAlignment="1" applyProtection="1">
      <alignment vertical="center"/>
      <protection hidden="1"/>
    </xf>
    <xf numFmtId="0" fontId="21" fillId="6" borderId="8" xfId="0" applyFont="1" applyFill="1" applyBorder="1" applyAlignment="1">
      <alignment horizontal="center" vertical="center"/>
    </xf>
    <xf numFmtId="0" fontId="21" fillId="6" borderId="8" xfId="23" applyFont="1" applyFill="1" applyBorder="1" applyAlignment="1" applyProtection="1">
      <alignment horizontal="center" vertical="center"/>
      <protection hidden="1"/>
    </xf>
    <xf numFmtId="44" fontId="21" fillId="0" borderId="0" xfId="12" applyFont="1" applyBorder="1" applyAlignment="1" applyProtection="1">
      <alignment horizontal="center" vertical="center"/>
      <protection hidden="1"/>
    </xf>
    <xf numFmtId="0" fontId="21" fillId="6" borderId="8" xfId="0" applyFont="1" applyFill="1" applyBorder="1" applyAlignment="1">
      <alignment horizontal="center" vertical="center" wrapText="1"/>
    </xf>
    <xf numFmtId="0" fontId="26" fillId="3" borderId="0" xfId="4" applyFont="1" applyFill="1" applyAlignment="1">
      <alignment horizontal="center"/>
    </xf>
    <xf numFmtId="0" fontId="26" fillId="0" borderId="0" xfId="4" applyFont="1" applyAlignment="1">
      <alignment horizontal="center"/>
    </xf>
    <xf numFmtId="0" fontId="26" fillId="0" borderId="0" xfId="4" applyFont="1" applyAlignment="1">
      <alignment horizontal="center" vertical="center"/>
    </xf>
    <xf numFmtId="0" fontId="26" fillId="2" borderId="0" xfId="4" applyFont="1" applyFill="1" applyAlignment="1">
      <alignment horizontal="center"/>
    </xf>
    <xf numFmtId="0" fontId="26" fillId="0" borderId="0" xfId="4" applyFont="1" applyAlignment="1">
      <alignment horizontal="center" wrapText="1"/>
    </xf>
    <xf numFmtId="0" fontId="26" fillId="0" borderId="0" xfId="4" applyFont="1" applyAlignment="1">
      <alignment horizontal="center" vertical="center" wrapText="1"/>
    </xf>
    <xf numFmtId="0" fontId="18" fillId="0" borderId="20" xfId="0" applyFont="1" applyBorder="1" applyAlignment="1">
      <alignment horizontal="left" vertical="center" wrapText="1"/>
    </xf>
    <xf numFmtId="0" fontId="29" fillId="0" borderId="0" xfId="0" applyFont="1" applyAlignment="1">
      <alignment wrapText="1"/>
    </xf>
    <xf numFmtId="0" fontId="28" fillId="0" borderId="23" xfId="25" applyFont="1" applyBorder="1" applyAlignment="1">
      <alignment horizontal="center" vertical="center" wrapText="1"/>
    </xf>
    <xf numFmtId="49" fontId="28" fillId="4" borderId="13" xfId="25" applyNumberFormat="1" applyFont="1" applyFill="1" applyBorder="1" applyAlignment="1">
      <alignment horizontal="center" vertical="center" wrapText="1"/>
    </xf>
    <xf numFmtId="0" fontId="28" fillId="4" borderId="8" xfId="25" applyFont="1" applyFill="1" applyBorder="1" applyAlignment="1">
      <alignment horizontal="center" vertical="center"/>
    </xf>
    <xf numFmtId="49" fontId="28" fillId="4" borderId="20" xfId="25" applyNumberFormat="1" applyFont="1" applyFill="1" applyBorder="1" applyAlignment="1">
      <alignment horizontal="left" vertical="center" wrapText="1"/>
    </xf>
    <xf numFmtId="0" fontId="28" fillId="5" borderId="24" xfId="26" applyFont="1" applyFill="1" applyBorder="1" applyAlignment="1">
      <alignment horizontal="center" vertical="center" wrapText="1"/>
    </xf>
    <xf numFmtId="0" fontId="28" fillId="5" borderId="25" xfId="26" applyFont="1" applyFill="1" applyBorder="1" applyAlignment="1">
      <alignment horizontal="left" vertical="center" wrapText="1"/>
    </xf>
    <xf numFmtId="0" fontId="30" fillId="0" borderId="13" xfId="26" applyFont="1" applyBorder="1" applyAlignment="1">
      <alignment horizontal="center" vertical="center" wrapText="1"/>
    </xf>
    <xf numFmtId="0" fontId="30" fillId="0" borderId="21" xfId="26" applyFont="1" applyBorder="1" applyAlignment="1">
      <alignment horizontal="center" vertical="center" wrapText="1"/>
    </xf>
    <xf numFmtId="0" fontId="18" fillId="0" borderId="22" xfId="0" applyFont="1" applyBorder="1" applyAlignment="1">
      <alignment horizontal="left" vertical="center" wrapText="1"/>
    </xf>
    <xf numFmtId="0" fontId="28" fillId="5" borderId="21" xfId="26" applyFont="1" applyFill="1" applyBorder="1" applyAlignment="1">
      <alignment horizontal="center" vertical="center" wrapText="1"/>
    </xf>
    <xf numFmtId="0" fontId="28" fillId="5" borderId="22" xfId="26" applyFont="1" applyFill="1" applyBorder="1" applyAlignment="1">
      <alignment horizontal="left" vertical="center" wrapText="1"/>
    </xf>
    <xf numFmtId="0" fontId="30" fillId="6" borderId="13" xfId="7" applyFont="1" applyFill="1" applyBorder="1" applyAlignment="1">
      <alignment horizontal="center" vertical="center" wrapText="1"/>
    </xf>
    <xf numFmtId="0" fontId="30" fillId="6" borderId="21" xfId="7" applyFont="1" applyFill="1" applyBorder="1" applyAlignment="1">
      <alignment horizontal="center" vertical="center" wrapText="1"/>
    </xf>
    <xf numFmtId="0" fontId="28" fillId="5" borderId="13" xfId="26" applyFont="1" applyFill="1" applyBorder="1" applyAlignment="1">
      <alignment horizontal="center" vertical="center" wrapText="1"/>
    </xf>
    <xf numFmtId="0" fontId="28" fillId="5" borderId="20" xfId="26" applyFont="1" applyFill="1" applyBorder="1" applyAlignment="1">
      <alignment horizontal="left" vertical="center" wrapText="1"/>
    </xf>
    <xf numFmtId="0" fontId="28" fillId="6" borderId="13" xfId="26" applyFont="1" applyFill="1" applyBorder="1" applyAlignment="1">
      <alignment horizontal="center" vertical="center" wrapText="1"/>
    </xf>
    <xf numFmtId="0" fontId="29" fillId="0" borderId="0" xfId="0" quotePrefix="1" applyFont="1" applyAlignment="1">
      <alignment wrapText="1"/>
    </xf>
    <xf numFmtId="0" fontId="31" fillId="7" borderId="20" xfId="0" applyFont="1" applyFill="1" applyBorder="1" applyAlignment="1">
      <alignment horizontal="left" vertical="center" wrapText="1"/>
    </xf>
    <xf numFmtId="0" fontId="28" fillId="0" borderId="13" xfId="26" applyFont="1" applyBorder="1" applyAlignment="1">
      <alignment horizontal="center" vertical="center" wrapText="1"/>
    </xf>
    <xf numFmtId="0" fontId="31" fillId="7" borderId="22" xfId="0" applyFont="1" applyFill="1" applyBorder="1" applyAlignment="1">
      <alignment horizontal="left" vertical="center" wrapText="1"/>
    </xf>
    <xf numFmtId="0" fontId="28" fillId="6" borderId="8" xfId="26" applyFont="1" applyFill="1" applyBorder="1" applyAlignment="1">
      <alignment horizontal="center" vertical="center" wrapText="1"/>
    </xf>
    <xf numFmtId="0" fontId="31" fillId="7" borderId="22" xfId="26" applyFont="1" applyFill="1" applyBorder="1" applyAlignment="1">
      <alignment horizontal="left" vertical="center" wrapText="1"/>
    </xf>
    <xf numFmtId="43" fontId="28" fillId="5" borderId="8" xfId="1" applyFont="1" applyFill="1" applyBorder="1" applyAlignment="1">
      <alignment horizontal="center" vertical="center" wrapText="1"/>
    </xf>
    <xf numFmtId="43" fontId="32" fillId="7" borderId="8" xfId="1" applyFont="1" applyFill="1" applyBorder="1" applyAlignment="1">
      <alignment horizontal="center" vertical="center" wrapText="1"/>
    </xf>
    <xf numFmtId="0" fontId="30" fillId="6" borderId="13" xfId="26" applyFont="1" applyFill="1" applyBorder="1" applyAlignment="1">
      <alignment horizontal="center" vertical="center" wrapText="1"/>
    </xf>
    <xf numFmtId="0" fontId="28" fillId="5" borderId="22" xfId="0" applyFont="1" applyFill="1" applyBorder="1" applyAlignment="1">
      <alignment horizontal="left" vertical="center" wrapText="1"/>
    </xf>
    <xf numFmtId="0" fontId="30" fillId="6" borderId="8" xfId="26" applyFont="1" applyFill="1" applyBorder="1" applyAlignment="1">
      <alignment horizontal="center" vertical="center" wrapText="1"/>
    </xf>
    <xf numFmtId="0" fontId="19" fillId="6" borderId="0" xfId="25" applyFont="1" applyFill="1" applyAlignment="1">
      <alignment horizontal="left" vertical="center" wrapText="1"/>
    </xf>
    <xf numFmtId="0" fontId="39" fillId="0" borderId="0" xfId="0" applyFont="1" applyAlignment="1">
      <alignment wrapText="1"/>
    </xf>
    <xf numFmtId="0" fontId="29" fillId="0" borderId="0" xfId="0" applyFont="1" applyAlignment="1">
      <alignment horizontal="center" vertical="center" wrapText="1"/>
    </xf>
    <xf numFmtId="0" fontId="29" fillId="0" borderId="0" xfId="0" applyFont="1"/>
    <xf numFmtId="0" fontId="29" fillId="6" borderId="0" xfId="0" applyFont="1" applyFill="1" applyAlignment="1">
      <alignment wrapText="1"/>
    </xf>
    <xf numFmtId="0" fontId="18" fillId="0" borderId="8" xfId="0" applyFont="1" applyBorder="1" applyAlignment="1">
      <alignment horizontal="center" vertical="center"/>
    </xf>
    <xf numFmtId="0" fontId="28" fillId="0" borderId="23" xfId="25" applyFont="1" applyBorder="1" applyAlignment="1">
      <alignment horizontal="center" vertical="center"/>
    </xf>
    <xf numFmtId="0" fontId="18" fillId="0" borderId="17" xfId="0" applyFont="1" applyBorder="1" applyAlignment="1">
      <alignment horizontal="center" vertical="center"/>
    </xf>
    <xf numFmtId="0" fontId="28" fillId="5" borderId="17" xfId="26" applyFont="1" applyFill="1" applyBorder="1" applyAlignment="1">
      <alignment horizontal="center" vertical="center"/>
    </xf>
    <xf numFmtId="0" fontId="28" fillId="5" borderId="8" xfId="26" applyFont="1" applyFill="1" applyBorder="1" applyAlignment="1">
      <alignment horizontal="center" vertical="center"/>
    </xf>
    <xf numFmtId="0" fontId="18" fillId="6" borderId="8" xfId="0" applyFont="1" applyFill="1" applyBorder="1" applyAlignment="1">
      <alignment horizontal="center" vertical="center"/>
    </xf>
    <xf numFmtId="0" fontId="28" fillId="7" borderId="17" xfId="26" applyFont="1" applyFill="1" applyBorder="1" applyAlignment="1">
      <alignment horizontal="center" vertical="center"/>
    </xf>
    <xf numFmtId="0" fontId="19" fillId="6" borderId="0" xfId="25" applyFont="1" applyFill="1" applyAlignment="1">
      <alignment horizontal="center" vertical="center"/>
    </xf>
    <xf numFmtId="0" fontId="32" fillId="7" borderId="8" xfId="0" applyFont="1" applyFill="1" applyBorder="1" applyAlignment="1">
      <alignment horizontal="center" vertical="center"/>
    </xf>
    <xf numFmtId="0" fontId="32" fillId="7" borderId="17" xfId="0" applyFont="1" applyFill="1" applyBorder="1" applyAlignment="1">
      <alignment horizontal="center" vertical="center"/>
    </xf>
    <xf numFmtId="0" fontId="34" fillId="5" borderId="17" xfId="0" applyFont="1" applyFill="1" applyBorder="1" applyAlignment="1">
      <alignment horizontal="center" vertical="center"/>
    </xf>
    <xf numFmtId="2" fontId="29" fillId="0" borderId="0" xfId="0" applyNumberFormat="1" applyFont="1" applyAlignment="1">
      <alignment wrapText="1"/>
    </xf>
    <xf numFmtId="0" fontId="19" fillId="6" borderId="0" xfId="25" applyFont="1" applyFill="1" applyAlignment="1">
      <alignment horizontal="center" vertical="center" wrapText="1"/>
    </xf>
    <xf numFmtId="0" fontId="19" fillId="5" borderId="3" xfId="25" applyFont="1" applyFill="1" applyBorder="1" applyAlignment="1">
      <alignment horizontal="center" vertical="center"/>
    </xf>
    <xf numFmtId="0" fontId="19" fillId="5" borderId="5" xfId="25" applyFont="1" applyFill="1" applyBorder="1" applyAlignment="1">
      <alignment horizontal="center" vertical="center"/>
    </xf>
    <xf numFmtId="0" fontId="19" fillId="5" borderId="6" xfId="25" applyFont="1" applyFill="1" applyBorder="1" applyAlignment="1">
      <alignment horizontal="center" vertical="center"/>
    </xf>
    <xf numFmtId="0" fontId="29" fillId="0" borderId="0" xfId="0" applyFont="1" applyAlignment="1">
      <alignment horizontal="center" vertical="center"/>
    </xf>
    <xf numFmtId="4" fontId="17" fillId="6" borderId="0" xfId="12" applyNumberFormat="1" applyFont="1" applyFill="1" applyAlignment="1">
      <alignment horizontal="left" vertical="center" wrapText="1"/>
    </xf>
    <xf numFmtId="0" fontId="28" fillId="0" borderId="23" xfId="25" applyFont="1" applyBorder="1" applyAlignment="1">
      <alignment horizontal="left" vertical="center" wrapText="1"/>
    </xf>
    <xf numFmtId="0" fontId="30" fillId="0" borderId="23" xfId="25" applyFont="1" applyBorder="1" applyAlignment="1">
      <alignment horizontal="left" vertical="center" wrapText="1"/>
    </xf>
    <xf numFmtId="4" fontId="28" fillId="4" borderId="8" xfId="32" applyNumberFormat="1" applyFont="1" applyFill="1" applyBorder="1" applyAlignment="1">
      <alignment horizontal="left" vertical="center"/>
    </xf>
    <xf numFmtId="43" fontId="30" fillId="5" borderId="15" xfId="1" applyFont="1" applyFill="1" applyBorder="1" applyAlignment="1">
      <alignment horizontal="left" vertical="center" wrapText="1"/>
    </xf>
    <xf numFmtId="43" fontId="16" fillId="0" borderId="8" xfId="1" applyFont="1" applyFill="1" applyBorder="1" applyAlignment="1">
      <alignment horizontal="left" vertical="center" wrapText="1"/>
    </xf>
    <xf numFmtId="43" fontId="16" fillId="6" borderId="8" xfId="1" applyFont="1" applyFill="1" applyBorder="1" applyAlignment="1">
      <alignment horizontal="left" vertical="center" wrapText="1"/>
    </xf>
    <xf numFmtId="43" fontId="16" fillId="0" borderId="17" xfId="1" applyFont="1" applyFill="1" applyBorder="1" applyAlignment="1">
      <alignment horizontal="left" vertical="center" wrapText="1"/>
    </xf>
    <xf numFmtId="43" fontId="30" fillId="5" borderId="17" xfId="1" applyFont="1" applyFill="1" applyBorder="1" applyAlignment="1">
      <alignment horizontal="left" vertical="center" wrapText="1"/>
    </xf>
    <xf numFmtId="43" fontId="16" fillId="0" borderId="20" xfId="1" applyFont="1" applyFill="1" applyBorder="1" applyAlignment="1">
      <alignment horizontal="left" vertical="center" wrapText="1"/>
    </xf>
    <xf numFmtId="43" fontId="30" fillId="5" borderId="8" xfId="1" applyFont="1" applyFill="1" applyBorder="1" applyAlignment="1">
      <alignment horizontal="left" vertical="center" wrapText="1"/>
    </xf>
    <xf numFmtId="43" fontId="33" fillId="7" borderId="8" xfId="1" applyFont="1" applyFill="1" applyBorder="1" applyAlignment="1">
      <alignment horizontal="left" vertical="center" wrapText="1"/>
    </xf>
    <xf numFmtId="43" fontId="30" fillId="0" borderId="20" xfId="1" applyFont="1" applyFill="1" applyBorder="1" applyAlignment="1">
      <alignment horizontal="left" vertical="center" wrapText="1"/>
    </xf>
    <xf numFmtId="43" fontId="33" fillId="7" borderId="17" xfId="1" applyFont="1" applyFill="1" applyBorder="1" applyAlignment="1">
      <alignment horizontal="left" vertical="center" wrapText="1"/>
    </xf>
    <xf numFmtId="0" fontId="18" fillId="0" borderId="8" xfId="0" applyFont="1" applyBorder="1" applyAlignment="1">
      <alignment horizontal="left" vertical="center" wrapText="1"/>
    </xf>
    <xf numFmtId="0" fontId="18" fillId="6" borderId="8" xfId="0" applyFont="1" applyFill="1" applyBorder="1" applyAlignment="1">
      <alignment horizontal="left" vertical="center" wrapText="1"/>
    </xf>
    <xf numFmtId="43" fontId="16" fillId="6" borderId="20" xfId="1" applyFont="1" applyFill="1" applyBorder="1" applyAlignment="1">
      <alignment horizontal="left" vertical="center" wrapText="1"/>
    </xf>
    <xf numFmtId="43" fontId="30" fillId="7" borderId="8" xfId="1" applyFont="1" applyFill="1" applyBorder="1" applyAlignment="1">
      <alignment horizontal="left" vertical="center" wrapText="1"/>
    </xf>
    <xf numFmtId="43" fontId="30" fillId="6" borderId="20" xfId="1" applyFont="1" applyFill="1" applyBorder="1" applyAlignment="1">
      <alignment horizontal="left" vertical="center" wrapText="1"/>
    </xf>
    <xf numFmtId="43" fontId="16" fillId="0" borderId="20" xfId="1" applyFont="1" applyBorder="1" applyAlignment="1">
      <alignment horizontal="left" vertical="center" wrapText="1"/>
    </xf>
    <xf numFmtId="43" fontId="16" fillId="5" borderId="8" xfId="1" applyFont="1" applyFill="1" applyBorder="1" applyAlignment="1">
      <alignment horizontal="left" vertical="center" wrapText="1"/>
    </xf>
    <xf numFmtId="0" fontId="29" fillId="0" borderId="0" xfId="0" applyFont="1" applyAlignment="1">
      <alignment horizontal="left" wrapText="1"/>
    </xf>
    <xf numFmtId="0" fontId="29" fillId="0" borderId="0" xfId="0" applyFont="1" applyAlignment="1">
      <alignment horizontal="left" vertical="center" wrapText="1"/>
    </xf>
    <xf numFmtId="0" fontId="2" fillId="6" borderId="13" xfId="26" applyFill="1" applyBorder="1" applyAlignment="1">
      <alignment horizontal="center" vertical="center" wrapText="1"/>
    </xf>
    <xf numFmtId="0" fontId="18" fillId="6" borderId="20" xfId="0" applyFont="1" applyFill="1" applyBorder="1" applyAlignment="1">
      <alignment horizontal="left" vertical="center" wrapText="1"/>
    </xf>
    <xf numFmtId="0" fontId="35" fillId="6" borderId="13" xfId="26" applyFont="1" applyFill="1" applyBorder="1" applyAlignment="1">
      <alignment horizontal="center" vertical="center" wrapText="1"/>
    </xf>
    <xf numFmtId="0" fontId="5" fillId="0" borderId="8" xfId="0" applyFont="1" applyBorder="1" applyAlignment="1">
      <alignment horizontal="center" vertical="center"/>
    </xf>
    <xf numFmtId="43" fontId="2" fillId="0" borderId="8" xfId="1" applyFont="1" applyFill="1" applyBorder="1" applyAlignment="1">
      <alignment horizontal="left" vertical="center" wrapText="1"/>
    </xf>
    <xf numFmtId="0" fontId="2" fillId="6" borderId="8" xfId="26" applyFill="1" applyBorder="1" applyAlignment="1">
      <alignment horizontal="center" vertical="center" wrapText="1"/>
    </xf>
    <xf numFmtId="0" fontId="5" fillId="6" borderId="8" xfId="0" applyFont="1" applyFill="1" applyBorder="1" applyAlignment="1">
      <alignment horizontal="center" vertical="center"/>
    </xf>
    <xf numFmtId="0" fontId="35" fillId="6" borderId="8" xfId="26" applyFont="1" applyFill="1" applyBorder="1" applyAlignment="1">
      <alignment horizontal="center" vertical="center" wrapText="1"/>
    </xf>
    <xf numFmtId="0" fontId="36" fillId="6" borderId="8" xfId="0" applyFont="1" applyFill="1" applyBorder="1" applyAlignment="1">
      <alignment horizontal="center" vertical="center"/>
    </xf>
    <xf numFmtId="0" fontId="40" fillId="6" borderId="20" xfId="0" applyFont="1" applyFill="1" applyBorder="1" applyAlignment="1">
      <alignment horizontal="left" vertical="center" wrapText="1"/>
    </xf>
    <xf numFmtId="43" fontId="38" fillId="6" borderId="8" xfId="1" applyFont="1" applyFill="1" applyBorder="1" applyAlignment="1">
      <alignment horizontal="left" vertical="center" wrapText="1"/>
    </xf>
    <xf numFmtId="0" fontId="36" fillId="6" borderId="20" xfId="0" applyFont="1" applyFill="1" applyBorder="1" applyAlignment="1">
      <alignment horizontal="left" vertical="center" wrapText="1"/>
    </xf>
    <xf numFmtId="0" fontId="5" fillId="6" borderId="8" xfId="0" applyFont="1" applyFill="1" applyBorder="1" applyAlignment="1">
      <alignment horizontal="left" vertical="center" wrapText="1"/>
    </xf>
    <xf numFmtId="0" fontId="36" fillId="6" borderId="8" xfId="0" applyFont="1" applyFill="1" applyBorder="1" applyAlignment="1">
      <alignment horizontal="left" vertical="center" wrapText="1"/>
    </xf>
    <xf numFmtId="43" fontId="35" fillId="6" borderId="8" xfId="1" applyFont="1" applyFill="1" applyBorder="1" applyAlignment="1">
      <alignment horizontal="left" vertical="center" wrapText="1"/>
    </xf>
    <xf numFmtId="43" fontId="30" fillId="6" borderId="8" xfId="1" applyFont="1" applyFill="1" applyBorder="1" applyAlignment="1">
      <alignment horizontal="left" vertical="center" wrapText="1"/>
    </xf>
    <xf numFmtId="0" fontId="40" fillId="6" borderId="8" xfId="0" applyFont="1" applyFill="1" applyBorder="1" applyAlignment="1">
      <alignment horizontal="left" vertical="center" wrapText="1"/>
    </xf>
    <xf numFmtId="0" fontId="36" fillId="6" borderId="17" xfId="0" applyFont="1" applyFill="1" applyBorder="1" applyAlignment="1">
      <alignment horizontal="center" vertical="center"/>
    </xf>
    <xf numFmtId="0" fontId="36" fillId="6" borderId="22" xfId="0" applyFont="1" applyFill="1" applyBorder="1" applyAlignment="1">
      <alignment horizontal="left" vertical="center" wrapText="1"/>
    </xf>
    <xf numFmtId="0" fontId="5" fillId="6" borderId="17" xfId="0" applyFont="1" applyFill="1" applyBorder="1" applyAlignment="1">
      <alignment horizontal="center" vertical="center"/>
    </xf>
    <xf numFmtId="0" fontId="5" fillId="6" borderId="22" xfId="0" applyFont="1" applyFill="1" applyBorder="1" applyAlignment="1">
      <alignment horizontal="left" vertical="center" wrapText="1"/>
    </xf>
    <xf numFmtId="0" fontId="42" fillId="6" borderId="13" xfId="26" applyFont="1" applyFill="1" applyBorder="1" applyAlignment="1">
      <alignment horizontal="center" vertical="center" wrapText="1"/>
    </xf>
    <xf numFmtId="43" fontId="38" fillId="6" borderId="20" xfId="1" applyFont="1" applyFill="1" applyBorder="1" applyAlignment="1">
      <alignment horizontal="left" vertical="center" wrapText="1"/>
    </xf>
    <xf numFmtId="0" fontId="18" fillId="6" borderId="22" xfId="0" applyFont="1" applyFill="1" applyBorder="1" applyAlignment="1">
      <alignment horizontal="left" vertical="center" wrapText="1"/>
    </xf>
    <xf numFmtId="0" fontId="18" fillId="6" borderId="17" xfId="0" applyFont="1" applyFill="1" applyBorder="1" applyAlignment="1">
      <alignment horizontal="center" vertical="center"/>
    </xf>
    <xf numFmtId="0" fontId="40" fillId="6" borderId="22" xfId="0" applyFont="1" applyFill="1" applyBorder="1" applyAlignment="1">
      <alignment horizontal="left" vertical="center" wrapText="1"/>
    </xf>
    <xf numFmtId="0" fontId="35" fillId="6" borderId="13" xfId="7" applyFont="1" applyFill="1" applyBorder="1" applyAlignment="1">
      <alignment horizontal="center" vertical="center" wrapText="1"/>
    </xf>
    <xf numFmtId="0" fontId="2" fillId="6" borderId="21" xfId="7" applyFill="1" applyBorder="1" applyAlignment="1">
      <alignment horizontal="center" vertical="center" wrapText="1"/>
    </xf>
    <xf numFmtId="0" fontId="35" fillId="6" borderId="21" xfId="7" applyFont="1" applyFill="1" applyBorder="1" applyAlignment="1">
      <alignment horizontal="center" vertical="center" wrapText="1"/>
    </xf>
    <xf numFmtId="43" fontId="38" fillId="6" borderId="17" xfId="1" applyFont="1" applyFill="1" applyBorder="1" applyAlignment="1">
      <alignment horizontal="left" vertical="center" wrapText="1"/>
    </xf>
    <xf numFmtId="0" fontId="35" fillId="6" borderId="20" xfId="0" applyFont="1" applyFill="1" applyBorder="1" applyAlignment="1">
      <alignment horizontal="left" vertical="center" wrapText="1"/>
    </xf>
    <xf numFmtId="0" fontId="44" fillId="6" borderId="20" xfId="0" applyFont="1" applyFill="1" applyBorder="1" applyAlignment="1">
      <alignment horizontal="left" vertical="center" wrapText="1"/>
    </xf>
    <xf numFmtId="0" fontId="45" fillId="6" borderId="20"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30" fillId="6" borderId="8" xfId="0" applyFont="1" applyFill="1" applyBorder="1" applyAlignment="1">
      <alignment horizontal="center" vertical="center"/>
    </xf>
    <xf numFmtId="0" fontId="30" fillId="6" borderId="20" xfId="0" applyFont="1" applyFill="1" applyBorder="1" applyAlignment="1">
      <alignment horizontal="left" vertical="center" wrapText="1"/>
    </xf>
    <xf numFmtId="0" fontId="35" fillId="6" borderId="8" xfId="0" applyFont="1" applyFill="1" applyBorder="1" applyAlignment="1">
      <alignment horizontal="center" vertical="center"/>
    </xf>
    <xf numFmtId="0" fontId="46" fillId="6" borderId="20" xfId="0" applyFont="1" applyFill="1" applyBorder="1" applyAlignment="1">
      <alignment horizontal="left" vertical="center" wrapText="1"/>
    </xf>
    <xf numFmtId="0" fontId="42" fillId="6" borderId="20" xfId="0" applyFont="1" applyFill="1" applyBorder="1" applyAlignment="1">
      <alignment horizontal="left" vertical="center" wrapText="1"/>
    </xf>
    <xf numFmtId="0" fontId="41" fillId="6" borderId="0" xfId="0" applyFont="1" applyFill="1" applyAlignment="1">
      <alignment horizontal="left" wrapText="1"/>
    </xf>
    <xf numFmtId="0" fontId="35" fillId="6" borderId="21" xfId="26" applyFont="1" applyFill="1" applyBorder="1" applyAlignment="1">
      <alignment horizontal="center" vertical="center" wrapText="1"/>
    </xf>
    <xf numFmtId="0" fontId="30" fillId="6" borderId="21" xfId="26" applyFont="1" applyFill="1" applyBorder="1" applyAlignment="1">
      <alignment horizontal="center" vertical="center" wrapText="1"/>
    </xf>
    <xf numFmtId="43" fontId="16" fillId="6" borderId="17" xfId="1" applyFont="1" applyFill="1" applyBorder="1" applyAlignment="1">
      <alignment horizontal="left" vertical="center" wrapText="1"/>
    </xf>
    <xf numFmtId="0" fontId="2" fillId="6" borderId="21" xfId="26" applyFill="1" applyBorder="1" applyAlignment="1">
      <alignment horizontal="center" vertical="center" wrapText="1"/>
    </xf>
    <xf numFmtId="43" fontId="38" fillId="6" borderId="20" xfId="1" applyFont="1" applyFill="1" applyBorder="1" applyAlignment="1">
      <alignment horizontal="center" vertical="center" wrapText="1"/>
    </xf>
    <xf numFmtId="0" fontId="2" fillId="6" borderId="8" xfId="0" applyFont="1" applyFill="1" applyBorder="1" applyAlignment="1">
      <alignment horizontal="center" vertical="center"/>
    </xf>
    <xf numFmtId="0" fontId="2" fillId="6" borderId="20" xfId="0" applyFont="1" applyFill="1" applyBorder="1" applyAlignment="1">
      <alignment horizontal="left" vertical="center" wrapText="1"/>
    </xf>
    <xf numFmtId="43" fontId="2" fillId="6" borderId="20" xfId="1" applyFont="1" applyFill="1" applyBorder="1" applyAlignment="1">
      <alignment horizontal="left" vertical="center" wrapText="1"/>
    </xf>
    <xf numFmtId="43" fontId="35" fillId="6" borderId="20" xfId="1" applyFont="1" applyFill="1" applyBorder="1" applyAlignment="1">
      <alignment horizontal="left" vertical="center" wrapText="1"/>
    </xf>
    <xf numFmtId="0" fontId="19" fillId="6" borderId="0" xfId="25" applyFont="1" applyFill="1" applyAlignment="1">
      <alignment horizontal="center"/>
    </xf>
    <xf numFmtId="0" fontId="28" fillId="4" borderId="8" xfId="25" applyFont="1" applyFill="1" applyBorder="1" applyAlignment="1">
      <alignment horizontal="center"/>
    </xf>
    <xf numFmtId="0" fontId="28" fillId="5" borderId="15" xfId="26" applyFont="1" applyFill="1" applyBorder="1" applyAlignment="1">
      <alignment horizontal="center"/>
    </xf>
    <xf numFmtId="0" fontId="35" fillId="6" borderId="1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17" xfId="0" applyFont="1" applyFill="1" applyBorder="1" applyAlignment="1">
      <alignment horizontal="center" vertical="center"/>
    </xf>
    <xf numFmtId="0" fontId="28" fillId="5" borderId="17" xfId="26" applyFont="1" applyFill="1" applyBorder="1" applyAlignment="1">
      <alignment horizontal="center"/>
    </xf>
    <xf numFmtId="0" fontId="28" fillId="5" borderId="17" xfId="0" applyFont="1" applyFill="1" applyBorder="1" applyAlignment="1">
      <alignment horizontal="center"/>
    </xf>
    <xf numFmtId="0" fontId="34" fillId="5" borderId="17" xfId="0" applyFont="1" applyFill="1" applyBorder="1" applyAlignment="1">
      <alignment horizontal="center"/>
    </xf>
    <xf numFmtId="0" fontId="29" fillId="0" borderId="0" xfId="0" applyFont="1" applyAlignment="1">
      <alignment horizontal="center"/>
    </xf>
    <xf numFmtId="0" fontId="35" fillId="0" borderId="13" xfId="26" applyFont="1" applyBorder="1" applyAlignment="1">
      <alignment horizontal="center" vertical="center" wrapText="1"/>
    </xf>
    <xf numFmtId="0" fontId="36" fillId="0" borderId="17" xfId="0" applyFont="1" applyBorder="1" applyAlignment="1">
      <alignment horizontal="center" vertical="center"/>
    </xf>
    <xf numFmtId="0" fontId="36" fillId="0" borderId="22" xfId="0" applyFont="1" applyBorder="1" applyAlignment="1">
      <alignment horizontal="left" vertical="center" wrapText="1"/>
    </xf>
    <xf numFmtId="43" fontId="38" fillId="0" borderId="20" xfId="1" applyFont="1" applyBorder="1" applyAlignment="1">
      <alignment horizontal="left" vertical="center" wrapText="1"/>
    </xf>
    <xf numFmtId="0" fontId="35" fillId="0" borderId="0" xfId="0" applyFont="1"/>
    <xf numFmtId="43" fontId="35" fillId="0" borderId="0" xfId="0" applyNumberFormat="1" applyFont="1"/>
    <xf numFmtId="0" fontId="37" fillId="6" borderId="20" xfId="0" applyFont="1" applyFill="1" applyBorder="1" applyAlignment="1">
      <alignment horizontal="left" vertical="center" wrapText="1"/>
    </xf>
    <xf numFmtId="0" fontId="43" fillId="6" borderId="13" xfId="26" applyFont="1" applyFill="1" applyBorder="1" applyAlignment="1">
      <alignment horizontal="center" vertical="center" wrapText="1"/>
    </xf>
    <xf numFmtId="0" fontId="43" fillId="6" borderId="8" xfId="0" applyFont="1" applyFill="1" applyBorder="1" applyAlignment="1">
      <alignment horizontal="center" vertical="center"/>
    </xf>
    <xf numFmtId="0" fontId="36" fillId="0" borderId="20" xfId="0" applyFont="1" applyBorder="1" applyAlignment="1">
      <alignment horizontal="left" vertical="center" wrapText="1"/>
    </xf>
    <xf numFmtId="0" fontId="36" fillId="0" borderId="8" xfId="0" applyFont="1" applyBorder="1" applyAlignment="1">
      <alignment horizontal="center" vertical="center"/>
    </xf>
    <xf numFmtId="43" fontId="38" fillId="0" borderId="20" xfId="1" applyFont="1" applyFill="1" applyBorder="1" applyAlignment="1">
      <alignment horizontal="left" vertical="center" wrapText="1"/>
    </xf>
    <xf numFmtId="0" fontId="36" fillId="0" borderId="8" xfId="0" applyFont="1" applyBorder="1" applyAlignment="1">
      <alignment horizontal="left" vertical="center" wrapText="1"/>
    </xf>
    <xf numFmtId="0" fontId="43" fillId="0" borderId="0" xfId="0" applyFont="1"/>
    <xf numFmtId="0" fontId="43" fillId="6" borderId="0" xfId="0" applyFont="1" applyFill="1"/>
    <xf numFmtId="0" fontId="43" fillId="0" borderId="0" xfId="0" applyFont="1" applyAlignment="1">
      <alignment horizontal="left"/>
    </xf>
    <xf numFmtId="43" fontId="43" fillId="0" borderId="0" xfId="0" applyNumberFormat="1" applyFont="1"/>
    <xf numFmtId="0" fontId="48" fillId="0" borderId="0" xfId="0" applyFont="1" applyAlignment="1">
      <alignment wrapText="1"/>
    </xf>
    <xf numFmtId="0" fontId="43" fillId="6" borderId="0" xfId="0" applyFont="1" applyFill="1" applyAlignment="1">
      <alignment horizontal="center" wrapText="1"/>
    </xf>
    <xf numFmtId="0" fontId="43" fillId="0" borderId="0" xfId="0" quotePrefix="1" applyFont="1"/>
    <xf numFmtId="0" fontId="48" fillId="0" borderId="0" xfId="0" applyFont="1"/>
    <xf numFmtId="0" fontId="41" fillId="0" borderId="0" xfId="0" applyFont="1"/>
    <xf numFmtId="0" fontId="43" fillId="0" borderId="0" xfId="0" applyFont="1" applyAlignment="1">
      <alignment wrapText="1"/>
    </xf>
    <xf numFmtId="0" fontId="43" fillId="6" borderId="0" xfId="0" applyFont="1" applyFill="1" applyAlignment="1">
      <alignment wrapText="1"/>
    </xf>
    <xf numFmtId="0" fontId="39" fillId="6" borderId="8" xfId="0" applyFont="1" applyFill="1" applyBorder="1" applyAlignment="1">
      <alignment wrapText="1"/>
    </xf>
    <xf numFmtId="43" fontId="2" fillId="6" borderId="8" xfId="1" applyFont="1" applyFill="1" applyBorder="1" applyAlignment="1">
      <alignment horizontal="left" vertical="center" wrapText="1"/>
    </xf>
    <xf numFmtId="0" fontId="2" fillId="0" borderId="8" xfId="26" applyBorder="1" applyAlignment="1">
      <alignment horizontal="center" vertical="center" wrapText="1"/>
    </xf>
    <xf numFmtId="0" fontId="49" fillId="0" borderId="8" xfId="0" applyFont="1" applyBorder="1" applyAlignment="1">
      <alignment horizontal="center" vertical="center" wrapText="1"/>
    </xf>
    <xf numFmtId="0" fontId="49" fillId="0" borderId="8" xfId="0" applyFont="1" applyBorder="1" applyAlignment="1">
      <alignment horizontal="left" wrapText="1"/>
    </xf>
    <xf numFmtId="0" fontId="49" fillId="0" borderId="8" xfId="0" applyFont="1" applyBorder="1" applyAlignment="1">
      <alignment horizontal="center"/>
    </xf>
    <xf numFmtId="0" fontId="49" fillId="0" borderId="8" xfId="0" applyFont="1" applyBorder="1" applyAlignment="1">
      <alignment horizontal="left" vertical="center" wrapText="1"/>
    </xf>
    <xf numFmtId="0" fontId="49" fillId="0" borderId="8" xfId="0" applyFont="1" applyBorder="1" applyAlignment="1">
      <alignment horizontal="center" vertical="center"/>
    </xf>
    <xf numFmtId="0" fontId="41" fillId="0" borderId="8" xfId="0" applyFont="1" applyBorder="1" applyAlignment="1">
      <alignment horizontal="left" wrapText="1"/>
    </xf>
    <xf numFmtId="0" fontId="41" fillId="0" borderId="8" xfId="0" applyFont="1" applyBorder="1" applyAlignment="1">
      <alignment horizontal="center"/>
    </xf>
    <xf numFmtId="0" fontId="41" fillId="0" borderId="8" xfId="0" applyFont="1" applyBorder="1" applyAlignment="1">
      <alignment horizontal="left" vertical="center" wrapText="1"/>
    </xf>
    <xf numFmtId="0" fontId="43" fillId="0" borderId="0" xfId="0" applyFont="1" applyAlignment="1">
      <alignment vertical="center"/>
    </xf>
    <xf numFmtId="0" fontId="50" fillId="0" borderId="0" xfId="0" applyFont="1"/>
    <xf numFmtId="0" fontId="51" fillId="0" borderId="0" xfId="0" applyFont="1"/>
    <xf numFmtId="0" fontId="52" fillId="6" borderId="21" xfId="26" applyFont="1" applyFill="1" applyBorder="1" applyAlignment="1">
      <alignment horizontal="center" vertical="center" wrapText="1"/>
    </xf>
    <xf numFmtId="0" fontId="52" fillId="6" borderId="8" xfId="0" applyFont="1" applyFill="1" applyBorder="1" applyAlignment="1">
      <alignment horizontal="center" vertical="center"/>
    </xf>
    <xf numFmtId="0" fontId="52" fillId="6" borderId="22" xfId="0" applyFont="1" applyFill="1" applyBorder="1" applyAlignment="1">
      <alignment horizontal="left" vertical="center" wrapText="1"/>
    </xf>
    <xf numFmtId="0" fontId="52" fillId="6" borderId="17" xfId="0" applyFont="1" applyFill="1" applyBorder="1" applyAlignment="1">
      <alignment horizontal="center" vertical="center"/>
    </xf>
    <xf numFmtId="43" fontId="52" fillId="6" borderId="17" xfId="1" applyFont="1" applyFill="1" applyBorder="1" applyAlignment="1">
      <alignment horizontal="left" vertical="center" wrapText="1"/>
    </xf>
    <xf numFmtId="0" fontId="43" fillId="6" borderId="20" xfId="0" applyFont="1" applyFill="1" applyBorder="1" applyAlignment="1">
      <alignment horizontal="left" vertical="center" wrapText="1"/>
    </xf>
    <xf numFmtId="43" fontId="43" fillId="6" borderId="8" xfId="1" applyFont="1" applyFill="1" applyBorder="1" applyAlignment="1">
      <alignment horizontal="left" vertical="center" wrapText="1"/>
    </xf>
    <xf numFmtId="0" fontId="53" fillId="6" borderId="0" xfId="0" applyFont="1" applyFill="1" applyAlignment="1">
      <alignment horizontal="left" wrapText="1"/>
    </xf>
    <xf numFmtId="43" fontId="38" fillId="0" borderId="17" xfId="1"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center" vertical="center"/>
    </xf>
    <xf numFmtId="0" fontId="35" fillId="0" borderId="21" xfId="26" applyFont="1" applyBorder="1" applyAlignment="1">
      <alignment horizontal="center" vertical="center" wrapText="1"/>
    </xf>
    <xf numFmtId="0" fontId="2" fillId="0" borderId="21" xfId="26" applyBorder="1" applyAlignment="1">
      <alignment horizontal="center" vertical="center" wrapText="1"/>
    </xf>
    <xf numFmtId="0" fontId="53" fillId="6" borderId="0" xfId="0" applyFont="1" applyFill="1" applyAlignment="1">
      <alignment horizontal="left" vertical="center" wrapText="1"/>
    </xf>
    <xf numFmtId="0" fontId="53" fillId="0" borderId="0" xfId="0" applyFont="1" applyAlignment="1">
      <alignment wrapText="1"/>
    </xf>
    <xf numFmtId="0" fontId="53" fillId="0" borderId="0" xfId="0" applyFont="1"/>
    <xf numFmtId="0" fontId="54" fillId="0" borderId="0" xfId="0" applyFont="1"/>
    <xf numFmtId="0" fontId="54" fillId="0" borderId="0" xfId="0" applyFont="1" applyAlignment="1">
      <alignment wrapText="1"/>
    </xf>
    <xf numFmtId="0" fontId="39" fillId="6" borderId="8" xfId="0" applyFont="1" applyFill="1" applyBorder="1" applyAlignment="1">
      <alignment horizontal="center" wrapText="1"/>
    </xf>
    <xf numFmtId="0" fontId="4" fillId="6" borderId="0" xfId="4" applyFont="1" applyFill="1" applyAlignment="1">
      <alignment vertical="top" wrapText="1"/>
    </xf>
    <xf numFmtId="0" fontId="4" fillId="2" borderId="0" xfId="4" applyFont="1" applyFill="1" applyAlignment="1">
      <alignment vertical="top" wrapText="1"/>
    </xf>
    <xf numFmtId="0" fontId="4" fillId="3" borderId="0" xfId="4" applyFont="1" applyFill="1" applyAlignment="1">
      <alignment vertical="top" wrapText="1"/>
    </xf>
    <xf numFmtId="0" fontId="4" fillId="0" borderId="0" xfId="4" applyFont="1" applyAlignment="1">
      <alignment horizontal="center" vertical="center" wrapText="1"/>
    </xf>
    <xf numFmtId="0" fontId="4" fillId="0" borderId="0" xfId="4" applyFont="1" applyAlignment="1">
      <alignment vertical="top" wrapText="1"/>
    </xf>
    <xf numFmtId="0" fontId="4" fillId="2" borderId="0" xfId="4" applyFont="1" applyFill="1" applyProtection="1">
      <protection hidden="1"/>
    </xf>
    <xf numFmtId="0" fontId="55" fillId="6" borderId="0" xfId="4" applyFont="1" applyFill="1" applyProtection="1">
      <protection hidden="1"/>
    </xf>
    <xf numFmtId="0" fontId="55" fillId="2" borderId="0" xfId="4" applyFont="1" applyFill="1" applyProtection="1">
      <protection hidden="1"/>
    </xf>
    <xf numFmtId="0" fontId="55" fillId="0" borderId="0" xfId="23" applyFont="1" applyProtection="1">
      <protection hidden="1"/>
    </xf>
    <xf numFmtId="0" fontId="55" fillId="6" borderId="0" xfId="23" applyFont="1" applyFill="1" applyProtection="1">
      <protection hidden="1"/>
    </xf>
    <xf numFmtId="44" fontId="55" fillId="0" borderId="0" xfId="23" applyNumberFormat="1" applyFont="1" applyProtection="1">
      <protection hidden="1"/>
    </xf>
    <xf numFmtId="14" fontId="55" fillId="0" borderId="0" xfId="23" applyNumberFormat="1" applyFont="1" applyProtection="1">
      <protection hidden="1"/>
    </xf>
    <xf numFmtId="0" fontId="55" fillId="0" borderId="0" xfId="4" applyFont="1" applyAlignment="1" applyProtection="1">
      <alignment horizontal="center" vertical="center"/>
      <protection hidden="1"/>
    </xf>
    <xf numFmtId="0" fontId="55" fillId="0" borderId="0" xfId="4" applyFont="1" applyProtection="1">
      <protection hidden="1"/>
    </xf>
    <xf numFmtId="0" fontId="55" fillId="0" borderId="0" xfId="4" applyFont="1" applyAlignment="1" applyProtection="1">
      <alignment horizontal="right"/>
      <protection hidden="1"/>
    </xf>
    <xf numFmtId="0" fontId="55" fillId="0" borderId="0" xfId="4" applyFont="1" applyAlignment="1" applyProtection="1">
      <alignment vertical="center" wrapText="1"/>
      <protection hidden="1"/>
    </xf>
    <xf numFmtId="0" fontId="55" fillId="0" borderId="0" xfId="4" applyFont="1" applyAlignment="1" applyProtection="1">
      <alignment horizontal="center" vertical="center" wrapText="1"/>
      <protection hidden="1"/>
    </xf>
    <xf numFmtId="4" fontId="55" fillId="0" borderId="0" xfId="4" applyNumberFormat="1" applyFont="1" applyAlignment="1" applyProtection="1">
      <alignment horizontal="center" vertical="center"/>
      <protection hidden="1"/>
    </xf>
    <xf numFmtId="0" fontId="53" fillId="0" borderId="0" xfId="0" applyFont="1" applyAlignment="1">
      <alignment vertical="center"/>
    </xf>
    <xf numFmtId="0" fontId="53" fillId="0" borderId="0" xfId="0" applyFont="1" applyAlignment="1">
      <alignment vertical="center" wrapText="1"/>
    </xf>
    <xf numFmtId="43" fontId="38" fillId="6" borderId="14" xfId="1" applyFont="1" applyFill="1" applyBorder="1" applyAlignment="1">
      <alignment horizontal="left" vertical="center" wrapText="1"/>
    </xf>
    <xf numFmtId="43" fontId="16" fillId="6" borderId="14" xfId="1" applyFont="1" applyFill="1" applyBorder="1" applyAlignment="1">
      <alignment horizontal="left" vertical="center" wrapText="1"/>
    </xf>
    <xf numFmtId="0" fontId="43" fillId="0" borderId="16" xfId="0" applyFont="1" applyBorder="1"/>
    <xf numFmtId="43" fontId="38" fillId="0" borderId="16" xfId="1" applyFont="1" applyFill="1" applyBorder="1" applyAlignment="1">
      <alignment horizontal="left" vertical="center" wrapText="1"/>
    </xf>
    <xf numFmtId="0" fontId="2" fillId="0" borderId="13" xfId="26" applyBorder="1" applyAlignment="1">
      <alignment horizontal="center" vertical="center" wrapText="1"/>
    </xf>
    <xf numFmtId="0" fontId="2" fillId="6" borderId="13" xfId="7" applyFill="1" applyBorder="1" applyAlignment="1">
      <alignment horizontal="center" vertical="center" wrapText="1"/>
    </xf>
    <xf numFmtId="3" fontId="2" fillId="6" borderId="13" xfId="26" applyNumberFormat="1" applyFill="1" applyBorder="1" applyAlignment="1">
      <alignment horizontal="center" vertical="center" wrapText="1"/>
    </xf>
    <xf numFmtId="0" fontId="58" fillId="7" borderId="13" xfId="26" applyFont="1" applyFill="1" applyBorder="1" applyAlignment="1">
      <alignment horizontal="center" vertical="center" wrapText="1"/>
    </xf>
    <xf numFmtId="0" fontId="58" fillId="7" borderId="21" xfId="26" applyFont="1" applyFill="1" applyBorder="1" applyAlignment="1">
      <alignment horizontal="center" vertical="center" wrapText="1"/>
    </xf>
    <xf numFmtId="0" fontId="2" fillId="7" borderId="13" xfId="26" applyFill="1" applyBorder="1" applyAlignment="1">
      <alignment horizontal="center" vertical="center" wrapText="1"/>
    </xf>
    <xf numFmtId="43" fontId="2" fillId="6" borderId="17" xfId="1" applyFont="1" applyFill="1" applyBorder="1" applyAlignment="1">
      <alignment horizontal="left" vertical="center" wrapText="1"/>
    </xf>
    <xf numFmtId="0" fontId="36" fillId="8" borderId="27" xfId="0" applyFont="1" applyFill="1" applyBorder="1" applyAlignment="1">
      <alignment horizontal="left" vertical="center" wrapText="1"/>
    </xf>
    <xf numFmtId="0" fontId="36" fillId="8" borderId="0" xfId="0" applyFont="1" applyFill="1" applyAlignment="1">
      <alignment horizontal="left" vertical="center" wrapText="1"/>
    </xf>
    <xf numFmtId="0" fontId="54" fillId="6" borderId="0" xfId="0" applyFont="1" applyFill="1"/>
    <xf numFmtId="0" fontId="29" fillId="6" borderId="8" xfId="0" applyFont="1" applyFill="1" applyBorder="1" applyAlignment="1">
      <alignment horizontal="center" vertical="center" wrapText="1"/>
    </xf>
    <xf numFmtId="0" fontId="29" fillId="6" borderId="8" xfId="0" applyFont="1" applyFill="1" applyBorder="1" applyAlignment="1">
      <alignment horizontal="center" vertical="center"/>
    </xf>
    <xf numFmtId="0" fontId="29" fillId="6" borderId="8" xfId="0" applyFont="1" applyFill="1" applyBorder="1" applyAlignment="1">
      <alignment horizontal="left" wrapText="1"/>
    </xf>
    <xf numFmtId="0" fontId="29" fillId="6" borderId="8" xfId="0" applyFont="1" applyFill="1" applyBorder="1" applyAlignment="1">
      <alignment horizontal="center"/>
    </xf>
    <xf numFmtId="0" fontId="29" fillId="6" borderId="8" xfId="0" applyFont="1" applyFill="1" applyBorder="1" applyAlignment="1">
      <alignment horizontal="left" vertical="center" wrapText="1"/>
    </xf>
    <xf numFmtId="0" fontId="59" fillId="0" borderId="0" xfId="0" applyFont="1" applyAlignment="1">
      <alignment wrapText="1"/>
    </xf>
    <xf numFmtId="0" fontId="2" fillId="0" borderId="8" xfId="0" applyFont="1" applyBorder="1" applyAlignment="1">
      <alignment horizontal="center" vertical="center"/>
    </xf>
    <xf numFmtId="0" fontId="2" fillId="0" borderId="20" xfId="0" applyFont="1" applyBorder="1" applyAlignment="1">
      <alignment horizontal="left" vertical="center" wrapText="1"/>
    </xf>
    <xf numFmtId="43" fontId="2" fillId="0" borderId="20" xfId="1" applyFont="1" applyFill="1" applyBorder="1" applyAlignment="1">
      <alignment horizontal="left" vertical="center" wrapText="1"/>
    </xf>
    <xf numFmtId="43" fontId="48" fillId="0" borderId="0" xfId="0" applyNumberFormat="1" applyFont="1" applyAlignment="1">
      <alignment wrapText="1"/>
    </xf>
    <xf numFmtId="43" fontId="43" fillId="0" borderId="0" xfId="0" quotePrefix="1" applyNumberFormat="1" applyFont="1"/>
    <xf numFmtId="43" fontId="41" fillId="0" borderId="0" xfId="0" applyNumberFormat="1" applyFont="1"/>
    <xf numFmtId="43" fontId="54" fillId="0" borderId="0" xfId="0" applyNumberFormat="1" applyFont="1"/>
    <xf numFmtId="43" fontId="53" fillId="0" borderId="0" xfId="0" applyNumberFormat="1" applyFont="1" applyAlignment="1">
      <alignment vertical="center"/>
    </xf>
    <xf numFmtId="0" fontId="3" fillId="5" borderId="3" xfId="0" applyFont="1" applyFill="1" applyBorder="1"/>
    <xf numFmtId="0" fontId="3" fillId="5" borderId="4" xfId="0" applyFont="1" applyFill="1" applyBorder="1"/>
    <xf numFmtId="0" fontId="3" fillId="5" borderId="10" xfId="0" applyFont="1" applyFill="1" applyBorder="1"/>
    <xf numFmtId="0" fontId="4" fillId="5" borderId="4" xfId="0" applyFont="1" applyFill="1" applyBorder="1"/>
    <xf numFmtId="0" fontId="3" fillId="5" borderId="5" xfId="0" applyFont="1" applyFill="1" applyBorder="1"/>
    <xf numFmtId="0" fontId="3" fillId="5" borderId="0" xfId="0" applyFont="1" applyFill="1"/>
    <xf numFmtId="0" fontId="3" fillId="5" borderId="11" xfId="0" applyFont="1" applyFill="1" applyBorder="1"/>
    <xf numFmtId="0" fontId="4" fillId="5" borderId="0" xfId="0" applyFont="1" applyFill="1"/>
    <xf numFmtId="0" fontId="3" fillId="5" borderId="6" xfId="0" applyFont="1" applyFill="1" applyBorder="1"/>
    <xf numFmtId="0" fontId="3" fillId="5" borderId="7" xfId="0" applyFont="1" applyFill="1" applyBorder="1"/>
    <xf numFmtId="0" fontId="3" fillId="5" borderId="12" xfId="0" applyFont="1" applyFill="1" applyBorder="1"/>
    <xf numFmtId="14" fontId="4" fillId="5" borderId="7" xfId="0" applyNumberFormat="1" applyFont="1" applyFill="1" applyBorder="1" applyAlignment="1">
      <alignment horizontal="left"/>
    </xf>
    <xf numFmtId="0" fontId="21" fillId="6" borderId="8" xfId="2" applyFont="1" applyFill="1" applyBorder="1" applyAlignment="1" applyProtection="1">
      <alignment horizontal="center" vertical="center"/>
      <protection hidden="1"/>
    </xf>
    <xf numFmtId="0" fontId="20" fillId="6" borderId="13" xfId="2" applyFont="1" applyFill="1" applyBorder="1" applyAlignment="1" applyProtection="1">
      <alignment horizontal="left" vertical="center"/>
      <protection hidden="1"/>
    </xf>
    <xf numFmtId="0" fontId="20" fillId="6" borderId="14" xfId="2" applyFont="1" applyFill="1" applyBorder="1" applyAlignment="1" applyProtection="1">
      <alignment horizontal="left" vertical="center"/>
      <protection hidden="1"/>
    </xf>
    <xf numFmtId="0" fontId="20" fillId="6" borderId="20" xfId="2" applyFont="1" applyFill="1" applyBorder="1" applyAlignment="1" applyProtection="1">
      <alignment horizontal="left" vertical="center"/>
      <protection hidden="1"/>
    </xf>
    <xf numFmtId="44" fontId="20" fillId="6" borderId="8" xfId="12" applyFont="1" applyFill="1" applyBorder="1" applyAlignment="1" applyProtection="1">
      <alignment horizontal="center" vertical="center"/>
      <protection hidden="1"/>
    </xf>
    <xf numFmtId="49" fontId="21" fillId="6" borderId="8" xfId="2" applyNumberFormat="1" applyFont="1" applyFill="1" applyBorder="1" applyAlignment="1" applyProtection="1">
      <alignment horizontal="center" vertical="center"/>
      <protection hidden="1"/>
    </xf>
    <xf numFmtId="0" fontId="25" fillId="6" borderId="8" xfId="0" applyFont="1" applyFill="1" applyBorder="1" applyAlignment="1">
      <alignment vertical="center"/>
    </xf>
    <xf numFmtId="14" fontId="21" fillId="6" borderId="8" xfId="2" applyNumberFormat="1" applyFont="1" applyFill="1" applyBorder="1" applyAlignment="1" applyProtection="1">
      <alignment horizontal="center" vertical="center"/>
      <protection hidden="1"/>
    </xf>
    <xf numFmtId="4" fontId="21" fillId="6" borderId="8" xfId="2" applyNumberFormat="1" applyFont="1" applyFill="1" applyBorder="1" applyAlignment="1" applyProtection="1">
      <alignment horizontal="center" vertical="center"/>
      <protection hidden="1"/>
    </xf>
    <xf numFmtId="44" fontId="21" fillId="6" borderId="8" xfId="12" applyFont="1" applyFill="1" applyBorder="1" applyAlignment="1" applyProtection="1">
      <alignment horizontal="center" vertical="center"/>
      <protection hidden="1"/>
    </xf>
    <xf numFmtId="0" fontId="22" fillId="6" borderId="0" xfId="2" applyFont="1" applyFill="1" applyAlignment="1" applyProtection="1">
      <alignment horizontal="center"/>
      <protection hidden="1"/>
    </xf>
    <xf numFmtId="0" fontId="22" fillId="6" borderId="0" xfId="2" applyFont="1" applyFill="1" applyAlignment="1" applyProtection="1">
      <alignment vertical="center"/>
      <protection hidden="1"/>
    </xf>
    <xf numFmtId="0" fontId="21" fillId="6" borderId="0" xfId="2" applyFont="1" applyFill="1" applyAlignment="1" applyProtection="1">
      <alignment horizontal="center" vertical="center"/>
      <protection hidden="1"/>
    </xf>
    <xf numFmtId="44" fontId="21" fillId="6" borderId="0" xfId="2" applyNumberFormat="1" applyFont="1" applyFill="1" applyAlignment="1" applyProtection="1">
      <alignment horizontal="center" vertical="center"/>
      <protection hidden="1"/>
    </xf>
    <xf numFmtId="4" fontId="21" fillId="6" borderId="0" xfId="2" applyNumberFormat="1" applyFont="1" applyFill="1" applyAlignment="1" applyProtection="1">
      <alignment horizontal="center" vertical="center"/>
      <protection hidden="1"/>
    </xf>
    <xf numFmtId="0" fontId="20" fillId="6" borderId="8" xfId="2" applyFont="1" applyFill="1" applyBorder="1" applyAlignment="1" applyProtection="1">
      <alignment vertical="center"/>
      <protection hidden="1"/>
    </xf>
    <xf numFmtId="0" fontId="20" fillId="6" borderId="8" xfId="0" applyFont="1" applyFill="1" applyBorder="1" applyAlignment="1">
      <alignment horizontal="center" vertical="center"/>
    </xf>
    <xf numFmtId="0" fontId="20" fillId="6" borderId="8" xfId="2" applyFont="1" applyFill="1" applyBorder="1" applyAlignment="1" applyProtection="1">
      <alignment horizontal="center" vertical="center"/>
      <protection hidden="1"/>
    </xf>
    <xf numFmtId="14" fontId="20" fillId="6" borderId="8" xfId="2" applyNumberFormat="1" applyFont="1" applyFill="1" applyBorder="1" applyAlignment="1" applyProtection="1">
      <alignment horizontal="center" vertical="center"/>
      <protection hidden="1"/>
    </xf>
    <xf numFmtId="4" fontId="20" fillId="6" borderId="8" xfId="2" applyNumberFormat="1" applyFont="1" applyFill="1" applyBorder="1" applyAlignment="1" applyProtection="1">
      <alignment horizontal="center" vertical="center"/>
      <protection hidden="1"/>
    </xf>
    <xf numFmtId="2" fontId="21" fillId="6" borderId="0" xfId="0" applyNumberFormat="1" applyFont="1" applyFill="1" applyAlignment="1">
      <alignment horizontal="center" vertical="center"/>
    </xf>
    <xf numFmtId="0" fontId="21" fillId="6" borderId="8" xfId="6" applyFont="1" applyFill="1" applyBorder="1" applyAlignment="1" applyProtection="1">
      <alignment horizontal="center" vertical="center"/>
    </xf>
    <xf numFmtId="0" fontId="22" fillId="6" borderId="0" xfId="2" applyFont="1" applyFill="1" applyAlignment="1" applyProtection="1">
      <protection hidden="1"/>
    </xf>
    <xf numFmtId="0" fontId="21" fillId="6" borderId="0" xfId="0" applyFont="1" applyFill="1" applyAlignment="1">
      <alignment horizontal="center" vertical="center"/>
    </xf>
    <xf numFmtId="3" fontId="21" fillId="6" borderId="0" xfId="0" applyNumberFormat="1" applyFont="1" applyFill="1" applyAlignment="1">
      <alignment horizontal="center" vertical="center"/>
    </xf>
    <xf numFmtId="4" fontId="21" fillId="6" borderId="0" xfId="2" applyNumberFormat="1" applyFont="1" applyFill="1" applyBorder="1" applyAlignment="1" applyProtection="1">
      <alignment horizontal="center" vertical="center"/>
      <protection hidden="1"/>
    </xf>
    <xf numFmtId="44" fontId="21" fillId="6" borderId="0" xfId="12" applyFont="1" applyFill="1" applyBorder="1" applyAlignment="1" applyProtection="1">
      <alignment horizontal="center" vertical="center"/>
      <protection hidden="1"/>
    </xf>
    <xf numFmtId="49" fontId="21" fillId="6" borderId="8" xfId="0" applyNumberFormat="1" applyFont="1" applyFill="1" applyBorder="1" applyAlignment="1">
      <alignment horizontal="center" vertical="center"/>
    </xf>
    <xf numFmtId="2" fontId="21" fillId="6" borderId="8" xfId="0" applyNumberFormat="1" applyFont="1" applyFill="1" applyBorder="1" applyAlignment="1">
      <alignment horizontal="center" vertical="center"/>
    </xf>
    <xf numFmtId="0" fontId="24" fillId="6" borderId="8" xfId="0" applyFont="1" applyFill="1" applyBorder="1"/>
    <xf numFmtId="0" fontId="25" fillId="6" borderId="8" xfId="0" applyFont="1" applyFill="1" applyBorder="1" applyAlignment="1">
      <alignment vertical="center" wrapText="1"/>
    </xf>
    <xf numFmtId="0" fontId="21" fillId="6" borderId="8" xfId="2" applyFont="1" applyFill="1" applyBorder="1" applyAlignment="1" applyProtection="1">
      <alignment vertical="center" wrapText="1"/>
      <protection hidden="1"/>
    </xf>
    <xf numFmtId="0" fontId="22" fillId="6" borderId="0" xfId="2" applyFont="1" applyFill="1" applyAlignment="1" applyProtection="1">
      <alignment vertical="center" wrapText="1"/>
      <protection hidden="1"/>
    </xf>
    <xf numFmtId="0" fontId="21" fillId="6" borderId="0" xfId="2" applyFont="1" applyFill="1" applyAlignment="1"/>
    <xf numFmtId="0" fontId="21" fillId="6" borderId="0" xfId="2" applyFont="1" applyFill="1" applyAlignment="1">
      <alignment horizontal="center" vertical="center"/>
    </xf>
    <xf numFmtId="4" fontId="21" fillId="6" borderId="14" xfId="2" applyNumberFormat="1" applyFont="1" applyFill="1" applyBorder="1" applyAlignment="1" applyProtection="1">
      <alignment horizontal="center" vertical="center"/>
      <protection hidden="1"/>
    </xf>
    <xf numFmtId="44" fontId="21" fillId="6" borderId="14" xfId="12" applyFont="1" applyFill="1" applyBorder="1" applyAlignment="1" applyProtection="1">
      <alignment horizontal="center" vertical="center"/>
      <protection hidden="1"/>
    </xf>
    <xf numFmtId="0" fontId="20" fillId="6" borderId="0" xfId="23" applyFont="1" applyFill="1" applyAlignment="1" applyProtection="1">
      <alignment horizontal="center" vertical="center"/>
      <protection hidden="1"/>
    </xf>
    <xf numFmtId="0" fontId="20" fillId="6" borderId="0" xfId="23" applyFont="1" applyFill="1" applyAlignment="1" applyProtection="1">
      <alignment vertical="center" wrapText="1"/>
      <protection hidden="1"/>
    </xf>
    <xf numFmtId="0" fontId="20" fillId="6" borderId="0" xfId="23" applyFont="1" applyFill="1" applyAlignment="1" applyProtection="1">
      <alignment horizontal="center" vertical="center" wrapText="1"/>
      <protection hidden="1"/>
    </xf>
    <xf numFmtId="14" fontId="20" fillId="6" borderId="0" xfId="23" applyNumberFormat="1" applyFont="1" applyFill="1" applyAlignment="1" applyProtection="1">
      <alignment horizontal="center" vertical="center"/>
      <protection hidden="1"/>
    </xf>
    <xf numFmtId="4" fontId="20" fillId="6" borderId="0" xfId="23" applyNumberFormat="1" applyFont="1" applyFill="1" applyAlignment="1" applyProtection="1">
      <alignment horizontal="center" vertical="center"/>
      <protection hidden="1"/>
    </xf>
    <xf numFmtId="44" fontId="20" fillId="6" borderId="0" xfId="8" applyFont="1" applyFill="1" applyAlignment="1" applyProtection="1">
      <alignment horizontal="center" vertical="center"/>
      <protection hidden="1"/>
    </xf>
    <xf numFmtId="0" fontId="22" fillId="6" borderId="0" xfId="23" applyFont="1" applyFill="1" applyAlignment="1" applyProtection="1">
      <alignment horizontal="center" vertical="center"/>
      <protection hidden="1"/>
    </xf>
    <xf numFmtId="0" fontId="22" fillId="6" borderId="0" xfId="23" applyFont="1" applyFill="1" applyAlignment="1" applyProtection="1">
      <alignment horizontal="right"/>
      <protection hidden="1"/>
    </xf>
    <xf numFmtId="0" fontId="22" fillId="6" borderId="0" xfId="23" applyFont="1" applyFill="1" applyAlignment="1" applyProtection="1">
      <alignment vertical="center"/>
      <protection hidden="1"/>
    </xf>
    <xf numFmtId="4" fontId="22" fillId="6" borderId="0" xfId="23" applyNumberFormat="1" applyFont="1" applyFill="1" applyAlignment="1" applyProtection="1">
      <alignment horizontal="center" vertical="center"/>
      <protection hidden="1"/>
    </xf>
    <xf numFmtId="0" fontId="21" fillId="6" borderId="0" xfId="23" applyFont="1" applyFill="1" applyAlignment="1" applyProtection="1">
      <alignment horizontal="center" vertical="center"/>
      <protection hidden="1"/>
    </xf>
    <xf numFmtId="4" fontId="23" fillId="6" borderId="0" xfId="23" applyNumberFormat="1" applyFont="1" applyFill="1" applyAlignment="1" applyProtection="1">
      <alignment horizontal="center" vertical="center"/>
      <protection hidden="1"/>
    </xf>
    <xf numFmtId="44" fontId="23" fillId="6" borderId="0" xfId="8" applyFont="1" applyFill="1" applyAlignment="1" applyProtection="1">
      <alignment horizontal="center" vertical="center"/>
      <protection hidden="1"/>
    </xf>
    <xf numFmtId="0" fontId="24" fillId="6" borderId="8" xfId="0" applyFont="1" applyFill="1" applyBorder="1" applyAlignment="1">
      <alignment wrapText="1"/>
    </xf>
    <xf numFmtId="14" fontId="21" fillId="6" borderId="8" xfId="0" applyNumberFormat="1" applyFont="1" applyFill="1" applyBorder="1" applyAlignment="1">
      <alignment horizontal="center" vertical="center"/>
    </xf>
    <xf numFmtId="0" fontId="21" fillId="6" borderId="0" xfId="23" applyFont="1" applyFill="1" applyAlignment="1" applyProtection="1">
      <alignment vertical="center"/>
      <protection hidden="1"/>
    </xf>
    <xf numFmtId="14" fontId="21" fillId="6" borderId="0" xfId="23" applyNumberFormat="1" applyFont="1" applyFill="1" applyAlignment="1" applyProtection="1">
      <alignment horizontal="center" vertical="center"/>
      <protection hidden="1"/>
    </xf>
    <xf numFmtId="4" fontId="21" fillId="6" borderId="0" xfId="23" applyNumberFormat="1" applyFont="1" applyFill="1" applyAlignment="1" applyProtection="1">
      <alignment horizontal="center" vertical="center"/>
      <protection hidden="1"/>
    </xf>
    <xf numFmtId="44" fontId="21" fillId="6" borderId="0" xfId="8" applyFont="1" applyFill="1" applyAlignment="1" applyProtection="1">
      <alignment horizontal="center" vertical="center"/>
      <protection hidden="1"/>
    </xf>
    <xf numFmtId="0" fontId="21" fillId="6" borderId="8" xfId="0" applyFont="1" applyFill="1" applyBorder="1"/>
    <xf numFmtId="0" fontId="20" fillId="6" borderId="0" xfId="23" applyFont="1" applyFill="1" applyAlignment="1" applyProtection="1">
      <alignment vertical="center"/>
      <protection hidden="1"/>
    </xf>
    <xf numFmtId="0" fontId="13" fillId="6" borderId="8" xfId="6" applyFill="1" applyBorder="1" applyAlignment="1" applyProtection="1">
      <alignment horizontal="center" vertical="center"/>
    </xf>
    <xf numFmtId="3" fontId="21" fillId="6" borderId="8" xfId="0" applyNumberFormat="1" applyFont="1" applyFill="1" applyBorder="1" applyAlignment="1">
      <alignment horizontal="center" vertical="center"/>
    </xf>
    <xf numFmtId="0" fontId="21" fillId="6" borderId="8" xfId="0" applyFont="1" applyFill="1" applyBorder="1" applyAlignment="1">
      <alignment wrapText="1"/>
    </xf>
    <xf numFmtId="0" fontId="57" fillId="6" borderId="8" xfId="6" applyFont="1" applyFill="1" applyBorder="1" applyAlignment="1" applyProtection="1">
      <alignment horizontal="center" vertical="center"/>
    </xf>
    <xf numFmtId="0" fontId="55" fillId="6" borderId="0" xfId="23" applyFont="1" applyFill="1" applyAlignment="1" applyProtection="1">
      <alignment horizontal="right"/>
      <protection hidden="1"/>
    </xf>
    <xf numFmtId="0" fontId="55" fillId="6" borderId="0" xfId="23" applyFont="1" applyFill="1" applyAlignment="1" applyProtection="1">
      <alignment vertical="center" wrapText="1"/>
      <protection hidden="1"/>
    </xf>
    <xf numFmtId="0" fontId="55" fillId="6" borderId="0" xfId="23" applyFont="1" applyFill="1" applyAlignment="1" applyProtection="1">
      <alignment horizontal="center" vertical="center" wrapText="1"/>
      <protection hidden="1"/>
    </xf>
    <xf numFmtId="0" fontId="55" fillId="6" borderId="0" xfId="23" applyFont="1" applyFill="1" applyAlignment="1" applyProtection="1">
      <alignment horizontal="center" vertical="center"/>
      <protection hidden="1"/>
    </xf>
    <xf numFmtId="0" fontId="4" fillId="6" borderId="0" xfId="23" applyFont="1" applyFill="1" applyAlignment="1" applyProtection="1">
      <alignment horizontal="center" vertical="center"/>
      <protection hidden="1"/>
    </xf>
    <xf numFmtId="4" fontId="55" fillId="6" borderId="0" xfId="23" applyNumberFormat="1" applyFont="1" applyFill="1" applyAlignment="1" applyProtection="1">
      <alignment horizontal="center" vertical="center"/>
      <protection hidden="1"/>
    </xf>
    <xf numFmtId="4" fontId="56" fillId="6" borderId="0" xfId="23" applyNumberFormat="1" applyFont="1" applyFill="1" applyAlignment="1" applyProtection="1">
      <alignment horizontal="center" vertical="center"/>
      <protection hidden="1"/>
    </xf>
    <xf numFmtId="44" fontId="56" fillId="6" borderId="0" xfId="8" applyFont="1" applyFill="1" applyAlignment="1" applyProtection="1">
      <alignment horizontal="center" vertical="center"/>
      <protection hidden="1"/>
    </xf>
    <xf numFmtId="0" fontId="20" fillId="6" borderId="8" xfId="0" applyFont="1" applyFill="1" applyBorder="1" applyAlignment="1">
      <alignment horizontal="center" vertical="center" wrapText="1"/>
    </xf>
    <xf numFmtId="49" fontId="21" fillId="6" borderId="8" xfId="2" applyNumberFormat="1" applyFont="1" applyFill="1" applyBorder="1" applyAlignment="1" applyProtection="1">
      <alignment horizontal="center" vertical="center" wrapText="1"/>
      <protection hidden="1"/>
    </xf>
    <xf numFmtId="0" fontId="21" fillId="6" borderId="8" xfId="6" applyFont="1" applyFill="1" applyBorder="1" applyAlignment="1" applyProtection="1">
      <alignment horizontal="center" vertical="center" wrapText="1"/>
    </xf>
    <xf numFmtId="44" fontId="21" fillId="6" borderId="8" xfId="35" applyFont="1" applyFill="1" applyBorder="1" applyAlignment="1" applyProtection="1">
      <alignment horizontal="center" vertical="center"/>
      <protection hidden="1"/>
    </xf>
    <xf numFmtId="0" fontId="23" fillId="6" borderId="0" xfId="0" applyFont="1" applyFill="1" applyAlignment="1">
      <alignment horizontal="center"/>
    </xf>
    <xf numFmtId="0" fontId="21" fillId="6" borderId="0" xfId="2" applyFont="1" applyFill="1" applyAlignment="1" applyProtection="1">
      <protection hidden="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29" fillId="0" borderId="8" xfId="0" applyFont="1" applyBorder="1" applyAlignment="1">
      <alignment horizontal="left" wrapText="1"/>
    </xf>
    <xf numFmtId="0" fontId="29" fillId="0" borderId="8" xfId="0" applyFont="1" applyBorder="1" applyAlignment="1">
      <alignment horizontal="center"/>
    </xf>
    <xf numFmtId="0" fontId="29" fillId="0" borderId="8" xfId="0" applyFont="1" applyBorder="1" applyAlignment="1">
      <alignment horizontal="left" vertical="center" wrapText="1"/>
    </xf>
    <xf numFmtId="43" fontId="43" fillId="0" borderId="16" xfId="0" applyNumberFormat="1" applyFont="1" applyBorder="1"/>
    <xf numFmtId="43" fontId="43" fillId="6" borderId="0" xfId="0" applyNumberFormat="1" applyFont="1" applyFill="1"/>
    <xf numFmtId="0" fontId="21" fillId="6" borderId="0" xfId="2" applyFont="1" applyFill="1" applyAlignment="1" applyProtection="1">
      <alignment vertical="center"/>
      <protection hidden="1"/>
    </xf>
    <xf numFmtId="0" fontId="21" fillId="6" borderId="8" xfId="0" applyFont="1" applyFill="1" applyBorder="1" applyAlignment="1">
      <alignment vertical="center"/>
    </xf>
    <xf numFmtId="0" fontId="21" fillId="6" borderId="8" xfId="0" applyFont="1" applyFill="1" applyBorder="1" applyAlignment="1">
      <alignment vertical="center" wrapText="1"/>
    </xf>
    <xf numFmtId="0" fontId="28" fillId="6" borderId="4" xfId="25" applyFont="1" applyFill="1" applyBorder="1" applyAlignment="1">
      <alignment horizontal="left" vertical="center" wrapText="1"/>
    </xf>
    <xf numFmtId="0" fontId="3" fillId="6" borderId="4" xfId="25" applyFont="1" applyFill="1" applyBorder="1" applyAlignment="1">
      <alignment horizontal="center" vertical="center" wrapText="1"/>
    </xf>
    <xf numFmtId="0" fontId="3" fillId="6" borderId="4" xfId="25" applyFont="1" applyFill="1" applyBorder="1" applyAlignment="1">
      <alignment horizontal="left" vertical="center" wrapText="1"/>
    </xf>
    <xf numFmtId="0" fontId="28" fillId="5" borderId="5" xfId="25" applyFont="1" applyFill="1" applyBorder="1" applyAlignment="1">
      <alignment horizontal="left" vertical="center"/>
    </xf>
    <xf numFmtId="0" fontId="1" fillId="0" borderId="0" xfId="36"/>
    <xf numFmtId="0" fontId="3" fillId="10" borderId="0" xfId="36" applyFont="1" applyFill="1" applyAlignment="1">
      <alignment horizontal="center" vertical="center" wrapText="1"/>
    </xf>
    <xf numFmtId="0" fontId="3" fillId="10" borderId="0" xfId="36" applyFont="1" applyFill="1" applyAlignment="1">
      <alignment horizontal="left" vertical="center" wrapText="1"/>
    </xf>
    <xf numFmtId="167" fontId="1" fillId="0" borderId="0" xfId="36" applyNumberFormat="1" applyAlignment="1">
      <alignment horizontal="center"/>
    </xf>
    <xf numFmtId="0" fontId="1" fillId="0" borderId="0" xfId="36" applyAlignment="1">
      <alignment horizontal="center"/>
    </xf>
    <xf numFmtId="0" fontId="61" fillId="11" borderId="31" xfId="36" applyFont="1" applyFill="1" applyBorder="1" applyAlignment="1">
      <alignment horizontal="left" vertical="center" wrapText="1"/>
    </xf>
    <xf numFmtId="0" fontId="61" fillId="11" borderId="33" xfId="36" applyFont="1" applyFill="1" applyBorder="1" applyAlignment="1">
      <alignment horizontal="left" vertical="center" wrapText="1"/>
    </xf>
    <xf numFmtId="0" fontId="61" fillId="11" borderId="35" xfId="36" applyFont="1" applyFill="1" applyBorder="1" applyAlignment="1">
      <alignment horizontal="left" vertical="center" wrapText="1"/>
    </xf>
    <xf numFmtId="0" fontId="61" fillId="10" borderId="0" xfId="36" applyFont="1" applyFill="1" applyAlignment="1">
      <alignment horizontal="left" vertical="center" wrapText="1"/>
    </xf>
    <xf numFmtId="14" fontId="2" fillId="10" borderId="0" xfId="36" applyNumberFormat="1" applyFont="1" applyFill="1" applyAlignment="1">
      <alignment horizontal="center" vertical="center" wrapText="1"/>
    </xf>
    <xf numFmtId="14" fontId="2" fillId="10" borderId="0" xfId="36" applyNumberFormat="1" applyFont="1" applyFill="1" applyAlignment="1">
      <alignment horizontal="left" vertical="center" wrapText="1"/>
    </xf>
    <xf numFmtId="0" fontId="28" fillId="0" borderId="0" xfId="36" applyFont="1" applyAlignment="1">
      <alignment horizontal="left" vertical="center"/>
    </xf>
    <xf numFmtId="0" fontId="28" fillId="0" borderId="0" xfId="36" applyFont="1" applyAlignment="1">
      <alignment horizontal="center" vertical="center"/>
    </xf>
    <xf numFmtId="0" fontId="2" fillId="0" borderId="0" xfId="36" applyFont="1" applyAlignment="1">
      <alignment horizontal="left" vertical="center"/>
    </xf>
    <xf numFmtId="0" fontId="62" fillId="0" borderId="0" xfId="36" applyFont="1" applyAlignment="1">
      <alignment horizontal="center"/>
    </xf>
    <xf numFmtId="168" fontId="62" fillId="0" borderId="0" xfId="36" applyNumberFormat="1" applyFont="1" applyAlignment="1">
      <alignment horizontal="center" vertical="center" wrapText="1"/>
    </xf>
    <xf numFmtId="0" fontId="62" fillId="0" borderId="0" xfId="36" applyFont="1" applyAlignment="1">
      <alignment horizontal="center" vertical="top"/>
    </xf>
    <xf numFmtId="169" fontId="35" fillId="0" borderId="8" xfId="12" applyNumberFormat="1" applyFont="1" applyBorder="1" applyAlignment="1">
      <alignment horizontal="center" vertical="center" wrapText="1"/>
    </xf>
    <xf numFmtId="2" fontId="2" fillId="0" borderId="0" xfId="36" applyNumberFormat="1" applyFont="1" applyAlignment="1">
      <alignment vertical="center"/>
    </xf>
    <xf numFmtId="10" fontId="35" fillId="0" borderId="8" xfId="37" applyNumberFormat="1" applyFont="1" applyBorder="1" applyAlignment="1">
      <alignment horizontal="center" vertical="center" wrapText="1"/>
    </xf>
    <xf numFmtId="0" fontId="3" fillId="0" borderId="0" xfId="36" applyFont="1" applyAlignment="1">
      <alignment horizontal="left" vertical="center"/>
    </xf>
    <xf numFmtId="0" fontId="4" fillId="0" borderId="0" xfId="36" applyFont="1" applyAlignment="1">
      <alignment horizontal="center" vertical="center"/>
    </xf>
    <xf numFmtId="10" fontId="2" fillId="0" borderId="0" xfId="36" applyNumberFormat="1" applyFont="1" applyAlignment="1">
      <alignment horizontal="center" vertical="center" wrapText="1"/>
    </xf>
    <xf numFmtId="2" fontId="2" fillId="0" borderId="0" xfId="36" applyNumberFormat="1" applyFont="1" applyAlignment="1">
      <alignment horizontal="center" vertical="center"/>
    </xf>
    <xf numFmtId="0" fontId="63" fillId="0" borderId="0" xfId="4" applyFont="1" applyAlignment="1" applyProtection="1">
      <alignment horizontal="center" vertical="center"/>
      <protection hidden="1"/>
    </xf>
    <xf numFmtId="4" fontId="63" fillId="0" borderId="0" xfId="4" applyNumberFormat="1" applyFont="1" applyAlignment="1" applyProtection="1">
      <alignment horizontal="center" vertical="center"/>
      <protection hidden="1"/>
    </xf>
    <xf numFmtId="0" fontId="63" fillId="0" borderId="0" xfId="4" applyFont="1" applyAlignment="1" applyProtection="1">
      <alignment horizontal="center" vertical="center" wrapText="1"/>
      <protection hidden="1"/>
    </xf>
    <xf numFmtId="0" fontId="28" fillId="9" borderId="37" xfId="36" applyFont="1" applyFill="1" applyBorder="1" applyAlignment="1">
      <alignment horizontal="center" vertical="center" wrapText="1"/>
    </xf>
    <xf numFmtId="0" fontId="28" fillId="9" borderId="38" xfId="36" applyFont="1" applyFill="1" applyBorder="1" applyAlignment="1">
      <alignment horizontal="center" vertical="center" wrapText="1"/>
    </xf>
    <xf numFmtId="0" fontId="28" fillId="9" borderId="39" xfId="36" applyFont="1" applyFill="1" applyBorder="1" applyAlignment="1">
      <alignment horizontal="center" vertical="center" wrapText="1"/>
    </xf>
    <xf numFmtId="10" fontId="64" fillId="6" borderId="19" xfId="36" applyNumberFormat="1" applyFont="1" applyFill="1" applyBorder="1" applyAlignment="1">
      <alignment horizontal="center" vertical="center" wrapText="1"/>
    </xf>
    <xf numFmtId="10" fontId="65" fillId="6" borderId="19" xfId="36" applyNumberFormat="1" applyFont="1" applyFill="1" applyBorder="1" applyAlignment="1">
      <alignment horizontal="center" vertical="center" wrapText="1"/>
    </xf>
    <xf numFmtId="4" fontId="64" fillId="6" borderId="17" xfId="36" applyNumberFormat="1" applyFont="1" applyFill="1" applyBorder="1" applyAlignment="1">
      <alignment horizontal="center" vertical="center" wrapText="1"/>
    </xf>
    <xf numFmtId="43" fontId="65" fillId="6" borderId="17" xfId="36" applyNumberFormat="1" applyFont="1" applyFill="1" applyBorder="1" applyAlignment="1">
      <alignment horizontal="center" vertical="center" wrapText="1"/>
    </xf>
    <xf numFmtId="10" fontId="64" fillId="6" borderId="15" xfId="36" applyNumberFormat="1" applyFont="1" applyFill="1" applyBorder="1" applyAlignment="1">
      <alignment horizontal="center" vertical="center" wrapText="1"/>
    </xf>
    <xf numFmtId="10" fontId="65" fillId="6" borderId="15" xfId="36" applyNumberFormat="1" applyFont="1" applyFill="1" applyBorder="1" applyAlignment="1">
      <alignment horizontal="center" vertical="center" wrapText="1"/>
    </xf>
    <xf numFmtId="0" fontId="65" fillId="6" borderId="17" xfId="36" applyFont="1" applyFill="1" applyBorder="1" applyAlignment="1">
      <alignment horizontal="center" vertical="center" wrapText="1"/>
    </xf>
    <xf numFmtId="0" fontId="66" fillId="12" borderId="0" xfId="36" applyFont="1" applyFill="1" applyAlignment="1">
      <alignment horizontal="left" vertical="top" wrapText="1"/>
    </xf>
    <xf numFmtId="4" fontId="67" fillId="12" borderId="0" xfId="36" applyNumberFormat="1" applyFont="1" applyFill="1" applyAlignment="1">
      <alignment horizontal="center" vertical="center" wrapText="1"/>
    </xf>
    <xf numFmtId="10" fontId="66" fillId="12" borderId="0" xfId="37" applyNumberFormat="1" applyFont="1" applyFill="1" applyAlignment="1">
      <alignment horizontal="center" vertical="center" wrapText="1"/>
    </xf>
    <xf numFmtId="0" fontId="66" fillId="12" borderId="0" xfId="36" applyFont="1" applyFill="1" applyAlignment="1">
      <alignment horizontal="center" vertical="center" wrapText="1"/>
    </xf>
    <xf numFmtId="43" fontId="66" fillId="12" borderId="0" xfId="36" applyNumberFormat="1" applyFont="1" applyFill="1" applyAlignment="1">
      <alignment horizontal="center" vertical="center" wrapText="1"/>
    </xf>
    <xf numFmtId="4" fontId="1" fillId="0" borderId="0" xfId="36" applyNumberFormat="1" applyAlignment="1">
      <alignment horizontal="center"/>
    </xf>
    <xf numFmtId="0" fontId="66" fillId="12" borderId="0" xfId="0" applyFont="1" applyFill="1" applyAlignment="1">
      <alignment horizontal="center" vertical="top" wrapText="1"/>
    </xf>
    <xf numFmtId="0" fontId="71" fillId="6" borderId="0" xfId="0" applyFont="1" applyFill="1" applyAlignment="1">
      <alignment horizontal="right" vertical="top" wrapText="1"/>
    </xf>
    <xf numFmtId="0" fontId="71" fillId="6" borderId="0" xfId="0" applyFont="1" applyFill="1" applyAlignment="1">
      <alignment horizontal="left" vertical="top" wrapText="1"/>
    </xf>
    <xf numFmtId="0" fontId="65" fillId="6" borderId="42" xfId="0" applyFont="1" applyFill="1" applyBorder="1" applyAlignment="1">
      <alignment horizontal="left" vertical="top" wrapText="1"/>
    </xf>
    <xf numFmtId="0" fontId="71" fillId="6" borderId="0" xfId="0" applyFont="1" applyFill="1" applyAlignment="1">
      <alignment horizontal="center" vertical="top" wrapText="1"/>
    </xf>
    <xf numFmtId="0" fontId="66" fillId="6" borderId="0" xfId="0" applyFont="1" applyFill="1" applyAlignment="1">
      <alignment horizontal="right" vertical="top" wrapText="1"/>
    </xf>
    <xf numFmtId="0" fontId="66" fillId="6" borderId="0" xfId="0" applyFont="1" applyFill="1" applyAlignment="1">
      <alignment horizontal="center" vertical="top" wrapText="1"/>
    </xf>
    <xf numFmtId="0" fontId="3" fillId="10" borderId="0" xfId="0" applyFont="1" applyFill="1" applyAlignment="1">
      <alignment horizontal="center" vertical="center" wrapText="1"/>
    </xf>
    <xf numFmtId="0" fontId="3" fillId="10" borderId="0" xfId="0" applyFont="1" applyFill="1" applyAlignment="1">
      <alignment horizontal="left" vertical="center" wrapText="1"/>
    </xf>
    <xf numFmtId="167" fontId="3" fillId="10" borderId="0" xfId="0" applyNumberFormat="1" applyFont="1" applyFill="1" applyAlignment="1">
      <alignment horizontal="center" vertical="center" wrapText="1"/>
    </xf>
    <xf numFmtId="0" fontId="61" fillId="11" borderId="31" xfId="0" applyFont="1" applyFill="1" applyBorder="1" applyAlignment="1">
      <alignment horizontal="left" vertical="center" wrapText="1"/>
    </xf>
    <xf numFmtId="0" fontId="61" fillId="11" borderId="33" xfId="0" applyFont="1" applyFill="1" applyBorder="1" applyAlignment="1">
      <alignment horizontal="left" vertical="center" wrapText="1"/>
    </xf>
    <xf numFmtId="0" fontId="61" fillId="11" borderId="35" xfId="0" applyFont="1" applyFill="1" applyBorder="1" applyAlignment="1">
      <alignment horizontal="left" vertical="center" wrapText="1"/>
    </xf>
    <xf numFmtId="0" fontId="61" fillId="10" borderId="0" xfId="0" applyFont="1" applyFill="1" applyAlignment="1">
      <alignment horizontal="left" vertical="center" wrapText="1"/>
    </xf>
    <xf numFmtId="14" fontId="2" fillId="10" borderId="0" xfId="0" applyNumberFormat="1" applyFont="1" applyFill="1" applyAlignment="1">
      <alignment horizontal="center" vertical="center" wrapText="1"/>
    </xf>
    <xf numFmtId="14" fontId="2" fillId="10" borderId="0" xfId="0" applyNumberFormat="1" applyFont="1" applyFill="1" applyAlignment="1">
      <alignment horizontal="left" vertical="center" wrapText="1"/>
    </xf>
    <xf numFmtId="167" fontId="2" fillId="10" borderId="0" xfId="0" applyNumberFormat="1" applyFont="1" applyFill="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2" fillId="0" borderId="0" xfId="0" applyFont="1" applyAlignment="1">
      <alignment horizontal="left" vertical="center"/>
    </xf>
    <xf numFmtId="0" fontId="62" fillId="0" borderId="0" xfId="0" applyFont="1" applyAlignment="1">
      <alignment horizontal="center"/>
    </xf>
    <xf numFmtId="168" fontId="62" fillId="0" borderId="0" xfId="0" applyNumberFormat="1" applyFont="1" applyAlignment="1">
      <alignment horizontal="center" vertical="center" wrapText="1"/>
    </xf>
    <xf numFmtId="0" fontId="62" fillId="0" borderId="0" xfId="0" applyFont="1" applyAlignment="1">
      <alignment horizontal="center" vertical="top"/>
    </xf>
    <xf numFmtId="2" fontId="2" fillId="0" borderId="0" xfId="0" applyNumberFormat="1" applyFont="1" applyAlignment="1">
      <alignment horizontal="center" vertical="center"/>
    </xf>
    <xf numFmtId="169" fontId="2" fillId="0" borderId="0" xfId="0" applyNumberFormat="1" applyFont="1" applyAlignment="1">
      <alignment horizontal="center" vertical="center" wrapText="1"/>
    </xf>
    <xf numFmtId="167" fontId="2"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10" fontId="2" fillId="0" borderId="0" xfId="0" applyNumberFormat="1" applyFont="1" applyAlignment="1">
      <alignment horizontal="center" vertical="center" wrapText="1"/>
    </xf>
    <xf numFmtId="0" fontId="61" fillId="10" borderId="0" xfId="0" applyFont="1" applyFill="1" applyAlignment="1">
      <alignment horizontal="left" vertical="top" wrapText="1"/>
    </xf>
    <xf numFmtId="0" fontId="61" fillId="6" borderId="48" xfId="0" applyFont="1" applyFill="1" applyBorder="1" applyAlignment="1">
      <alignment horizontal="center" vertical="top" wrapText="1"/>
    </xf>
    <xf numFmtId="0" fontId="61" fillId="6" borderId="48" xfId="0" applyFont="1" applyFill="1" applyBorder="1" applyAlignment="1">
      <alignment horizontal="left" vertical="top" wrapText="1"/>
    </xf>
    <xf numFmtId="0" fontId="71" fillId="6" borderId="48" xfId="0" applyFont="1" applyFill="1" applyBorder="1" applyAlignment="1">
      <alignment horizontal="center" vertical="top" wrapText="1"/>
    </xf>
    <xf numFmtId="0" fontId="71" fillId="6" borderId="48" xfId="0" applyFont="1" applyFill="1" applyBorder="1" applyAlignment="1">
      <alignment horizontal="left" vertical="top" wrapText="1"/>
    </xf>
    <xf numFmtId="0" fontId="3" fillId="10" borderId="0" xfId="0" applyFont="1" applyFill="1" applyAlignment="1">
      <alignment vertical="center" wrapText="1"/>
    </xf>
    <xf numFmtId="14" fontId="2" fillId="10" borderId="0" xfId="0" applyNumberFormat="1" applyFont="1" applyFill="1" applyAlignment="1">
      <alignment vertical="center" wrapText="1"/>
    </xf>
    <xf numFmtId="0" fontId="0" fillId="6" borderId="0" xfId="0" applyFill="1" applyAlignment="1">
      <alignment horizontal="center"/>
    </xf>
    <xf numFmtId="170" fontId="71" fillId="6" borderId="48" xfId="0" applyNumberFormat="1" applyFont="1" applyFill="1" applyBorder="1" applyAlignment="1">
      <alignment horizontal="center" vertical="top" wrapText="1"/>
    </xf>
    <xf numFmtId="4" fontId="71" fillId="6" borderId="48" xfId="0" applyNumberFormat="1" applyFont="1" applyFill="1" applyBorder="1" applyAlignment="1">
      <alignment horizontal="center" vertical="top" wrapText="1"/>
    </xf>
    <xf numFmtId="0" fontId="65" fillId="6" borderId="42" xfId="0" applyFont="1" applyFill="1" applyBorder="1" applyAlignment="1">
      <alignment horizontal="center" vertical="top" wrapText="1"/>
    </xf>
    <xf numFmtId="4" fontId="71" fillId="6" borderId="0" xfId="0" applyNumberFormat="1" applyFont="1" applyFill="1" applyAlignment="1">
      <alignment horizontal="center" vertical="top" wrapText="1"/>
    </xf>
    <xf numFmtId="0" fontId="70" fillId="6" borderId="8" xfId="0" applyFont="1" applyFill="1" applyBorder="1" applyAlignment="1">
      <alignment horizontal="center" vertical="center" wrapText="1"/>
    </xf>
    <xf numFmtId="0" fontId="70" fillId="6" borderId="8" xfId="0" applyFont="1" applyFill="1" applyBorder="1" applyAlignment="1">
      <alignment horizontal="left" vertical="center" wrapText="1"/>
    </xf>
    <xf numFmtId="0" fontId="71" fillId="6" borderId="8" xfId="0" applyFont="1" applyFill="1" applyBorder="1" applyAlignment="1">
      <alignment horizontal="center" vertical="center" wrapText="1"/>
    </xf>
    <xf numFmtId="0" fontId="71" fillId="6" borderId="8" xfId="0" applyFont="1" applyFill="1" applyBorder="1" applyAlignment="1">
      <alignment horizontal="left" vertical="center" wrapText="1"/>
    </xf>
    <xf numFmtId="170" fontId="71" fillId="6" borderId="8" xfId="0" applyNumberFormat="1" applyFont="1" applyFill="1" applyBorder="1" applyAlignment="1">
      <alignment horizontal="center" vertical="center" wrapText="1"/>
    </xf>
    <xf numFmtId="4" fontId="71" fillId="6" borderId="8"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horizontal="left" vertical="center" wrapText="1"/>
    </xf>
    <xf numFmtId="170" fontId="8" fillId="6" borderId="8" xfId="0" applyNumberFormat="1" applyFont="1" applyFill="1" applyBorder="1" applyAlignment="1">
      <alignment horizontal="center" vertical="center" wrapText="1"/>
    </xf>
    <xf numFmtId="4" fontId="8" fillId="6" borderId="8" xfId="0" applyNumberFormat="1"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8" xfId="0" applyFont="1" applyFill="1" applyBorder="1" applyAlignment="1">
      <alignment horizontal="left" vertical="center" wrapText="1"/>
    </xf>
    <xf numFmtId="170" fontId="8" fillId="6" borderId="48" xfId="0" applyNumberFormat="1" applyFont="1" applyFill="1" applyBorder="1" applyAlignment="1">
      <alignment horizontal="center" vertical="center" wrapText="1"/>
    </xf>
    <xf numFmtId="4" fontId="8" fillId="6" borderId="48" xfId="0" applyNumberFormat="1" applyFont="1" applyFill="1" applyBorder="1" applyAlignment="1">
      <alignment horizontal="center" vertical="center" wrapText="1"/>
    </xf>
    <xf numFmtId="4" fontId="28" fillId="6" borderId="48" xfId="0" applyNumberFormat="1" applyFont="1" applyFill="1" applyBorder="1" applyAlignment="1">
      <alignment horizontal="center" vertical="top" wrapText="1"/>
    </xf>
    <xf numFmtId="0" fontId="70" fillId="6" borderId="8" xfId="0" applyFont="1" applyFill="1" applyBorder="1" applyAlignment="1">
      <alignment horizontal="left" vertical="top" wrapText="1"/>
    </xf>
    <xf numFmtId="0" fontId="70" fillId="6" borderId="8" xfId="0" applyFont="1" applyFill="1" applyBorder="1" applyAlignment="1">
      <alignment horizontal="right" vertical="top" wrapText="1"/>
    </xf>
    <xf numFmtId="0" fontId="70" fillId="6" borderId="8" xfId="0" applyFont="1" applyFill="1" applyBorder="1" applyAlignment="1">
      <alignment horizontal="center" vertical="top" wrapText="1"/>
    </xf>
    <xf numFmtId="0" fontId="71" fillId="6" borderId="8" xfId="0" applyFont="1" applyFill="1" applyBorder="1" applyAlignment="1">
      <alignment horizontal="left" vertical="top" wrapText="1"/>
    </xf>
    <xf numFmtId="4" fontId="71" fillId="6" borderId="48" xfId="0" applyNumberFormat="1" applyFont="1" applyFill="1" applyBorder="1" applyAlignment="1">
      <alignment horizontal="center" vertical="center" wrapText="1"/>
    </xf>
    <xf numFmtId="0" fontId="8" fillId="6" borderId="8" xfId="0" applyFont="1" applyFill="1" applyBorder="1" applyAlignment="1">
      <alignment horizontal="left" vertical="top" wrapText="1"/>
    </xf>
    <xf numFmtId="4" fontId="28" fillId="6" borderId="8" xfId="0" applyNumberFormat="1" applyFont="1" applyFill="1" applyBorder="1" applyAlignment="1">
      <alignment horizontal="center" vertical="top" wrapText="1"/>
    </xf>
    <xf numFmtId="0" fontId="70" fillId="6" borderId="48" xfId="0" applyFont="1" applyFill="1" applyBorder="1" applyAlignment="1">
      <alignment horizontal="center" vertical="center" wrapText="1"/>
    </xf>
    <xf numFmtId="0" fontId="70" fillId="6" borderId="48" xfId="0" applyFont="1" applyFill="1" applyBorder="1" applyAlignment="1">
      <alignment horizontal="left" vertical="top" wrapText="1"/>
    </xf>
    <xf numFmtId="0" fontId="71" fillId="6" borderId="48" xfId="0" applyFont="1" applyFill="1" applyBorder="1" applyAlignment="1">
      <alignment horizontal="center" vertical="center" wrapText="1"/>
    </xf>
    <xf numFmtId="0" fontId="71" fillId="6" borderId="48" xfId="0" applyFont="1" applyFill="1" applyBorder="1" applyAlignment="1">
      <alignment horizontal="left" vertical="center" wrapText="1"/>
    </xf>
    <xf numFmtId="170" fontId="71" fillId="6" borderId="48" xfId="0" applyNumberFormat="1" applyFont="1" applyFill="1" applyBorder="1" applyAlignment="1">
      <alignment horizontal="center" vertical="center" wrapText="1"/>
    </xf>
    <xf numFmtId="0" fontId="70" fillId="6" borderId="48" xfId="0" applyFont="1" applyFill="1" applyBorder="1" applyAlignment="1">
      <alignment horizontal="left" vertical="center" wrapText="1"/>
    </xf>
    <xf numFmtId="49" fontId="2" fillId="6" borderId="8" xfId="2" applyNumberFormat="1" applyFont="1" applyFill="1" applyBorder="1" applyAlignment="1" applyProtection="1">
      <alignment horizontal="center" vertical="center" wrapText="1"/>
      <protection hidden="1"/>
    </xf>
    <xf numFmtId="0" fontId="2" fillId="6" borderId="8" xfId="0" applyFont="1" applyFill="1" applyBorder="1"/>
    <xf numFmtId="0" fontId="2" fillId="6" borderId="8" xfId="0" applyFont="1" applyFill="1" applyBorder="1" applyAlignment="1">
      <alignment horizontal="center" vertical="center" wrapText="1"/>
    </xf>
    <xf numFmtId="0" fontId="2" fillId="6" borderId="8" xfId="23" applyFont="1" applyFill="1" applyBorder="1" applyAlignment="1" applyProtection="1">
      <alignment horizontal="center" vertical="center"/>
      <protection hidden="1"/>
    </xf>
    <xf numFmtId="14" fontId="2" fillId="6" borderId="8" xfId="2" applyNumberFormat="1" applyFont="1" applyFill="1" applyBorder="1" applyAlignment="1" applyProtection="1">
      <alignment horizontal="center" vertical="center"/>
      <protection hidden="1"/>
    </xf>
    <xf numFmtId="4" fontId="2" fillId="6" borderId="8" xfId="2" applyNumberFormat="1" applyFont="1" applyFill="1" applyBorder="1" applyAlignment="1" applyProtection="1">
      <alignment horizontal="center" vertical="center"/>
      <protection hidden="1"/>
    </xf>
    <xf numFmtId="44" fontId="2" fillId="6" borderId="8" xfId="12" applyFont="1" applyFill="1" applyBorder="1" applyAlignment="1" applyProtection="1">
      <alignment horizontal="center" vertical="center"/>
      <protection hidden="1"/>
    </xf>
    <xf numFmtId="49" fontId="2" fillId="6" borderId="8" xfId="2" applyNumberFormat="1" applyFont="1" applyFill="1" applyBorder="1" applyAlignment="1" applyProtection="1">
      <alignment horizontal="center" vertical="center"/>
      <protection hidden="1"/>
    </xf>
    <xf numFmtId="0" fontId="2" fillId="6" borderId="0" xfId="0" applyFont="1" applyFill="1" applyAlignment="1">
      <alignment horizontal="center"/>
    </xf>
    <xf numFmtId="49" fontId="2" fillId="6" borderId="8" xfId="0" applyNumberFormat="1" applyFont="1" applyFill="1" applyBorder="1" applyAlignment="1">
      <alignment horizontal="center" vertical="center"/>
    </xf>
    <xf numFmtId="0" fontId="2" fillId="6" borderId="8" xfId="2" applyFont="1" applyFill="1" applyBorder="1" applyAlignment="1" applyProtection="1">
      <alignment vertical="center" wrapText="1"/>
      <protection hidden="1"/>
    </xf>
    <xf numFmtId="0" fontId="72" fillId="6" borderId="0" xfId="2" applyFont="1" applyFill="1" applyAlignment="1" applyProtection="1">
      <protection hidden="1"/>
    </xf>
    <xf numFmtId="0" fontId="72" fillId="6" borderId="0" xfId="2" applyFont="1" applyFill="1" applyAlignment="1" applyProtection="1">
      <alignment vertical="center" wrapText="1"/>
      <protection hidden="1"/>
    </xf>
    <xf numFmtId="0" fontId="2" fillId="6" borderId="0" xfId="2" applyFont="1" applyFill="1" applyAlignment="1" applyProtection="1">
      <alignment horizontal="center" vertical="center"/>
      <protection hidden="1"/>
    </xf>
    <xf numFmtId="4" fontId="2" fillId="6" borderId="0" xfId="2" applyNumberFormat="1" applyFont="1" applyFill="1" applyAlignment="1" applyProtection="1">
      <alignment horizontal="center" vertical="center"/>
      <protection hidden="1"/>
    </xf>
    <xf numFmtId="0" fontId="0" fillId="0" borderId="0" xfId="0" applyAlignment="1">
      <alignment horizontal="center" vertical="center"/>
    </xf>
    <xf numFmtId="10" fontId="35" fillId="0" borderId="8" xfId="38" applyNumberFormat="1" applyFont="1" applyBorder="1" applyAlignment="1">
      <alignment horizontal="center" vertical="center" wrapText="1"/>
    </xf>
    <xf numFmtId="0" fontId="70" fillId="12" borderId="0" xfId="0" applyFont="1" applyFill="1" applyAlignment="1">
      <alignment horizontal="center" vertical="top" wrapText="1"/>
    </xf>
    <xf numFmtId="0" fontId="70" fillId="12" borderId="8" xfId="0" applyFont="1" applyFill="1" applyBorder="1" applyAlignment="1">
      <alignment horizontal="center" vertical="center" wrapText="1"/>
    </xf>
    <xf numFmtId="0" fontId="65" fillId="14" borderId="8" xfId="0" applyFont="1" applyFill="1" applyBorder="1" applyAlignment="1">
      <alignment horizontal="center" vertical="center" wrapText="1"/>
    </xf>
    <xf numFmtId="0" fontId="65" fillId="12" borderId="8" xfId="0" applyFont="1" applyFill="1" applyBorder="1" applyAlignment="1">
      <alignment horizontal="center" vertical="center" wrapText="1"/>
    </xf>
    <xf numFmtId="0" fontId="64" fillId="13" borderId="8" xfId="0" applyFont="1" applyFill="1" applyBorder="1" applyAlignment="1">
      <alignment vertical="center" wrapText="1"/>
    </xf>
    <xf numFmtId="0" fontId="65" fillId="14" borderId="8" xfId="0" applyFont="1" applyFill="1" applyBorder="1" applyAlignment="1">
      <alignment vertical="center" wrapText="1"/>
    </xf>
    <xf numFmtId="0" fontId="65" fillId="12" borderId="8" xfId="0" applyFont="1" applyFill="1" applyBorder="1" applyAlignment="1">
      <alignment vertical="center" wrapText="1"/>
    </xf>
    <xf numFmtId="0" fontId="66" fillId="12" borderId="8" xfId="0" applyFont="1" applyFill="1" applyBorder="1" applyAlignment="1">
      <alignment vertical="center" wrapText="1"/>
    </xf>
    <xf numFmtId="0" fontId="64" fillId="13" borderId="8" xfId="0" applyFont="1" applyFill="1" applyBorder="1" applyAlignment="1">
      <alignment horizontal="center" vertical="center" wrapText="1"/>
    </xf>
    <xf numFmtId="4" fontId="64" fillId="13" borderId="8" xfId="0" applyNumberFormat="1" applyFont="1" applyFill="1" applyBorder="1" applyAlignment="1">
      <alignment horizontal="center" vertical="center" wrapText="1"/>
    </xf>
    <xf numFmtId="171" fontId="64" fillId="13" borderId="8" xfId="0" applyNumberFormat="1" applyFont="1" applyFill="1" applyBorder="1" applyAlignment="1">
      <alignment horizontal="center" vertical="center" wrapText="1"/>
    </xf>
    <xf numFmtId="4" fontId="65" fillId="14" borderId="8" xfId="0" applyNumberFormat="1" applyFont="1" applyFill="1" applyBorder="1" applyAlignment="1">
      <alignment horizontal="center" vertical="center" wrapText="1"/>
    </xf>
    <xf numFmtId="4" fontId="65" fillId="12" borderId="8" xfId="0" applyNumberFormat="1" applyFont="1" applyFill="1" applyBorder="1" applyAlignment="1">
      <alignment horizontal="center" vertical="center" wrapText="1"/>
    </xf>
    <xf numFmtId="0" fontId="66" fillId="12" borderId="8" xfId="0" applyFont="1" applyFill="1" applyBorder="1" applyAlignment="1">
      <alignment horizontal="center" vertical="center" wrapText="1"/>
    </xf>
    <xf numFmtId="0" fontId="61" fillId="10" borderId="0" xfId="0" applyFont="1" applyFill="1" applyAlignment="1">
      <alignment vertical="top" wrapText="1"/>
    </xf>
    <xf numFmtId="0" fontId="70" fillId="12" borderId="0" xfId="0" applyFont="1" applyFill="1" applyAlignment="1">
      <alignment vertical="top" wrapText="1"/>
    </xf>
    <xf numFmtId="0" fontId="66" fillId="12" borderId="0" xfId="0" applyFont="1" applyFill="1" applyAlignment="1">
      <alignment vertical="top" wrapText="1"/>
    </xf>
    <xf numFmtId="0" fontId="71" fillId="12" borderId="0" xfId="0" applyFont="1" applyFill="1" applyAlignment="1">
      <alignment horizontal="center" vertical="center" wrapText="1"/>
    </xf>
    <xf numFmtId="0" fontId="71" fillId="12" borderId="0" xfId="0" applyFont="1" applyFill="1" applyAlignment="1">
      <alignment vertical="center" wrapText="1"/>
    </xf>
    <xf numFmtId="0" fontId="66" fillId="12" borderId="0" xfId="0" applyFont="1" applyFill="1" applyAlignment="1">
      <alignment horizontal="center" vertical="center" wrapText="1"/>
    </xf>
    <xf numFmtId="4" fontId="0" fillId="6" borderId="0" xfId="0" applyNumberFormat="1" applyFill="1"/>
    <xf numFmtId="4" fontId="64" fillId="6" borderId="16" xfId="0" applyNumberFormat="1" applyFont="1" applyFill="1" applyBorder="1" applyAlignment="1">
      <alignment horizontal="center" vertical="center" wrapText="1"/>
    </xf>
    <xf numFmtId="4" fontId="66" fillId="12" borderId="8" xfId="0" applyNumberFormat="1" applyFont="1" applyFill="1" applyBorder="1" applyAlignment="1">
      <alignment horizontal="center" vertical="center" wrapText="1"/>
    </xf>
    <xf numFmtId="171" fontId="16" fillId="6" borderId="8" xfId="0" applyNumberFormat="1" applyFont="1" applyFill="1" applyBorder="1" applyAlignment="1">
      <alignment horizontal="center" vertical="center" wrapText="1"/>
    </xf>
    <xf numFmtId="172" fontId="16" fillId="6" borderId="8" xfId="0" applyNumberFormat="1" applyFont="1" applyFill="1" applyBorder="1" applyAlignment="1">
      <alignment horizontal="center" vertical="center" wrapText="1"/>
    </xf>
    <xf numFmtId="0" fontId="3" fillId="6" borderId="0" xfId="25" applyFont="1" applyFill="1" applyAlignment="1">
      <alignment horizontal="left" vertical="center" wrapText="1"/>
    </xf>
    <xf numFmtId="0" fontId="3" fillId="6" borderId="0" xfId="25" applyFont="1" applyFill="1" applyAlignment="1">
      <alignment horizontal="center" vertical="center" wrapText="1"/>
    </xf>
    <xf numFmtId="0" fontId="3" fillId="6" borderId="0" xfId="25" applyFont="1" applyFill="1" applyAlignment="1">
      <alignment horizontal="center" wrapText="1"/>
    </xf>
    <xf numFmtId="4" fontId="3" fillId="6" borderId="0" xfId="12" applyNumberFormat="1" applyFont="1" applyFill="1" applyAlignment="1">
      <alignment wrapText="1"/>
    </xf>
    <xf numFmtId="0" fontId="4" fillId="0" borderId="53" xfId="7" applyFont="1" applyBorder="1" applyAlignment="1">
      <alignment horizontal="center" vertical="center"/>
    </xf>
    <xf numFmtId="0" fontId="4" fillId="0" borderId="16" xfId="0" applyFont="1" applyBorder="1"/>
    <xf numFmtId="0" fontId="4" fillId="0" borderId="0" xfId="0" applyFont="1" applyAlignment="1">
      <alignment horizontal="center"/>
    </xf>
    <xf numFmtId="0" fontId="4" fillId="0" borderId="18" xfId="0" applyFont="1" applyBorder="1"/>
    <xf numFmtId="10" fontId="4" fillId="0" borderId="54" xfId="1" applyNumberFormat="1" applyFont="1" applyBorder="1" applyAlignment="1">
      <alignment horizontal="right"/>
    </xf>
    <xf numFmtId="10" fontId="3" fillId="5" borderId="57" xfId="38" applyNumberFormat="1" applyFont="1" applyFill="1" applyBorder="1" applyAlignment="1">
      <alignment vertical="center"/>
    </xf>
    <xf numFmtId="0" fontId="4" fillId="0" borderId="61" xfId="7" applyFont="1" applyBorder="1" applyAlignment="1">
      <alignment horizontal="center" vertical="center"/>
    </xf>
    <xf numFmtId="43" fontId="4" fillId="6" borderId="13" xfId="1" applyFont="1" applyFill="1" applyBorder="1" applyAlignment="1">
      <alignment horizontal="left" vertical="center"/>
    </xf>
    <xf numFmtId="0" fontId="4" fillId="0" borderId="14" xfId="0" applyFont="1" applyBorder="1" applyAlignment="1">
      <alignment horizontal="center"/>
    </xf>
    <xf numFmtId="0" fontId="4" fillId="0" borderId="20" xfId="0" applyFont="1" applyBorder="1"/>
    <xf numFmtId="10" fontId="4" fillId="0" borderId="62" xfId="1" applyNumberFormat="1" applyFont="1" applyBorder="1" applyAlignment="1">
      <alignment horizontal="right"/>
    </xf>
    <xf numFmtId="0" fontId="4" fillId="0" borderId="13" xfId="0" applyFont="1" applyBorder="1"/>
    <xf numFmtId="10" fontId="3" fillId="5" borderId="65" xfId="38" applyNumberFormat="1" applyFont="1" applyFill="1" applyBorder="1" applyAlignment="1">
      <alignment vertical="center"/>
    </xf>
    <xf numFmtId="4" fontId="0" fillId="0" borderId="0" xfId="0" applyNumberFormat="1"/>
    <xf numFmtId="4" fontId="64" fillId="6" borderId="0" xfId="0" applyNumberFormat="1" applyFont="1" applyFill="1" applyAlignment="1">
      <alignment horizontal="center" vertical="center" wrapText="1"/>
    </xf>
    <xf numFmtId="43" fontId="1" fillId="0" borderId="0" xfId="36" applyNumberFormat="1"/>
    <xf numFmtId="0" fontId="1" fillId="6" borderId="0" xfId="36" applyFill="1"/>
    <xf numFmtId="43" fontId="1" fillId="6" borderId="0" xfId="36" applyNumberFormat="1" applyFill="1"/>
    <xf numFmtId="0" fontId="69" fillId="0" borderId="0" xfId="0" applyFont="1" applyAlignment="1">
      <alignment horizontal="left" wrapText="1"/>
    </xf>
    <xf numFmtId="0" fontId="19" fillId="4" borderId="1" xfId="25" applyFont="1" applyFill="1" applyBorder="1" applyAlignment="1">
      <alignment horizontal="center" vertical="center" wrapText="1"/>
    </xf>
    <xf numFmtId="0" fontId="19" fillId="4" borderId="2" xfId="25" applyFont="1" applyFill="1" applyBorder="1" applyAlignment="1">
      <alignment horizontal="center" vertical="center" wrapText="1"/>
    </xf>
    <xf numFmtId="0" fontId="19" fillId="4" borderId="9" xfId="25" applyFont="1" applyFill="1" applyBorder="1" applyAlignment="1">
      <alignment horizontal="center" vertical="center" wrapText="1"/>
    </xf>
    <xf numFmtId="0" fontId="47" fillId="5" borderId="4" xfId="25" applyFont="1" applyFill="1" applyBorder="1" applyAlignment="1">
      <alignment horizontal="left" vertical="center" wrapText="1"/>
    </xf>
    <xf numFmtId="0" fontId="47" fillId="5" borderId="10" xfId="25" applyFont="1" applyFill="1" applyBorder="1" applyAlignment="1">
      <alignment horizontal="left" vertical="center" wrapText="1"/>
    </xf>
    <xf numFmtId="0" fontId="47" fillId="5" borderId="0" xfId="25" applyFont="1" applyFill="1" applyAlignment="1">
      <alignment horizontal="left" vertical="center" wrapText="1"/>
    </xf>
    <xf numFmtId="0" fontId="47" fillId="5" borderId="11" xfId="25" applyFont="1" applyFill="1" applyBorder="1" applyAlignment="1">
      <alignment horizontal="left" vertical="center" wrapText="1"/>
    </xf>
    <xf numFmtId="14" fontId="47" fillId="5" borderId="7" xfId="25" applyNumberFormat="1" applyFont="1" applyFill="1" applyBorder="1" applyAlignment="1">
      <alignment horizontal="left" vertical="center" wrapText="1"/>
    </xf>
    <xf numFmtId="0" fontId="47" fillId="5" borderId="7" xfId="25" applyFont="1" applyFill="1" applyBorder="1" applyAlignment="1">
      <alignment horizontal="left" vertical="center" wrapText="1"/>
    </xf>
    <xf numFmtId="0" fontId="47" fillId="5" borderId="12" xfId="25" applyFont="1" applyFill="1" applyBorder="1" applyAlignment="1">
      <alignment horizontal="left" vertical="center" wrapText="1"/>
    </xf>
    <xf numFmtId="0" fontId="53" fillId="6" borderId="16" xfId="0" applyFont="1" applyFill="1" applyBorder="1" applyAlignment="1">
      <alignment horizontal="left" wrapText="1"/>
    </xf>
    <xf numFmtId="0" fontId="26" fillId="4" borderId="1" xfId="4" applyFont="1" applyFill="1" applyBorder="1" applyAlignment="1">
      <alignment horizontal="center"/>
    </xf>
    <xf numFmtId="0" fontId="26" fillId="4" borderId="2" xfId="4" applyFont="1" applyFill="1" applyBorder="1" applyAlignment="1">
      <alignment horizontal="center"/>
    </xf>
    <xf numFmtId="0" fontId="26" fillId="4" borderId="9" xfId="4" applyFont="1" applyFill="1" applyBorder="1" applyAlignment="1">
      <alignment horizontal="center"/>
    </xf>
    <xf numFmtId="4" fontId="3" fillId="4" borderId="8" xfId="4" applyNumberFormat="1" applyFont="1" applyFill="1" applyBorder="1" applyAlignment="1" applyProtection="1">
      <alignment horizontal="center" vertical="center" wrapText="1"/>
      <protection hidden="1"/>
    </xf>
    <xf numFmtId="0" fontId="20" fillId="6" borderId="13" xfId="2" applyFont="1" applyFill="1" applyBorder="1" applyAlignment="1" applyProtection="1">
      <alignment horizontal="left" vertical="center"/>
      <protection hidden="1"/>
    </xf>
    <xf numFmtId="0" fontId="20" fillId="6" borderId="14" xfId="2" applyFont="1" applyFill="1" applyBorder="1" applyAlignment="1" applyProtection="1">
      <alignment horizontal="left" vertical="center"/>
      <protection hidden="1"/>
    </xf>
    <xf numFmtId="0" fontId="20" fillId="6" borderId="20" xfId="2" applyFont="1" applyFill="1" applyBorder="1" applyAlignment="1" applyProtection="1">
      <alignment horizontal="left" vertical="center"/>
      <protection hidden="1"/>
    </xf>
    <xf numFmtId="0" fontId="21" fillId="6" borderId="28" xfId="2" applyFont="1" applyFill="1" applyBorder="1" applyAlignment="1" applyProtection="1">
      <alignment horizontal="left"/>
      <protection hidden="1"/>
    </xf>
    <xf numFmtId="0" fontId="21" fillId="6" borderId="0" xfId="2" applyFont="1" applyFill="1" applyBorder="1" applyAlignment="1" applyProtection="1">
      <alignment horizontal="left"/>
      <protection hidden="1"/>
    </xf>
    <xf numFmtId="0" fontId="3" fillId="4" borderId="8" xfId="4" applyFont="1" applyFill="1" applyBorder="1" applyAlignment="1" applyProtection="1">
      <alignment horizontal="center" vertical="center"/>
      <protection hidden="1"/>
    </xf>
    <xf numFmtId="4" fontId="3" fillId="4" borderId="8" xfId="4" applyNumberFormat="1" applyFont="1" applyFill="1" applyBorder="1" applyAlignment="1" applyProtection="1">
      <alignment horizontal="center" vertical="center"/>
      <protection hidden="1"/>
    </xf>
    <xf numFmtId="0" fontId="3" fillId="4" borderId="8" xfId="4" applyFont="1" applyFill="1" applyBorder="1" applyAlignment="1" applyProtection="1">
      <alignment horizontal="center" vertical="center" wrapText="1"/>
      <protection hidden="1"/>
    </xf>
    <xf numFmtId="0" fontId="3" fillId="4" borderId="8" xfId="4" applyFont="1" applyFill="1" applyBorder="1" applyAlignment="1" applyProtection="1">
      <alignment horizontal="left" vertical="center" wrapText="1"/>
      <protection hidden="1"/>
    </xf>
    <xf numFmtId="2" fontId="2" fillId="0" borderId="0" xfId="0" applyNumberFormat="1" applyFont="1" applyAlignment="1">
      <alignment horizontal="center" vertical="center"/>
    </xf>
    <xf numFmtId="0" fontId="61" fillId="10" borderId="0" xfId="0" applyFont="1" applyFill="1" applyAlignment="1">
      <alignment horizontal="center" vertical="top" wrapText="1"/>
    </xf>
    <xf numFmtId="0" fontId="28" fillId="6" borderId="48" xfId="0" applyFont="1" applyFill="1" applyBorder="1" applyAlignment="1">
      <alignment horizontal="right" vertical="top" wrapText="1"/>
    </xf>
    <xf numFmtId="0" fontId="66" fillId="6" borderId="0" xfId="0" applyFont="1" applyFill="1" applyAlignment="1">
      <alignment horizontal="right" vertical="top" wrapText="1"/>
    </xf>
    <xf numFmtId="4" fontId="66" fillId="6" borderId="0" xfId="0" applyNumberFormat="1" applyFont="1" applyFill="1" applyAlignment="1">
      <alignment horizontal="center" vertical="top" wrapText="1"/>
    </xf>
    <xf numFmtId="0" fontId="66" fillId="6" borderId="0" xfId="0" applyFont="1" applyFill="1" applyAlignment="1">
      <alignment horizontal="center" vertical="top" wrapText="1"/>
    </xf>
    <xf numFmtId="0" fontId="71" fillId="6" borderId="0" xfId="0" applyFont="1" applyFill="1" applyAlignment="1">
      <alignment horizontal="center" vertical="top" wrapText="1"/>
    </xf>
    <xf numFmtId="0" fontId="0" fillId="6" borderId="0" xfId="0" applyFill="1"/>
    <xf numFmtId="0" fontId="3" fillId="9" borderId="2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2" fillId="11" borderId="44" xfId="0" applyFont="1" applyFill="1" applyBorder="1" applyAlignment="1">
      <alignment horizontal="left" vertical="center" wrapText="1"/>
    </xf>
    <xf numFmtId="0" fontId="2" fillId="11" borderId="45"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34" xfId="0" applyFont="1" applyFill="1" applyBorder="1" applyAlignment="1">
      <alignment horizontal="left" vertical="center" wrapText="1"/>
    </xf>
    <xf numFmtId="14" fontId="2" fillId="11" borderId="46" xfId="0" applyNumberFormat="1" applyFont="1" applyFill="1" applyBorder="1" applyAlignment="1">
      <alignment horizontal="left" vertical="center" wrapText="1"/>
    </xf>
    <xf numFmtId="14" fontId="2" fillId="11" borderId="47" xfId="0" applyNumberFormat="1" applyFont="1" applyFill="1" applyBorder="1" applyAlignment="1">
      <alignment horizontal="left" vertical="center" wrapText="1"/>
    </xf>
    <xf numFmtId="0" fontId="71" fillId="6" borderId="0" xfId="0" applyFont="1" applyFill="1" applyAlignment="1">
      <alignment horizontal="left" vertical="top" wrapText="1"/>
    </xf>
    <xf numFmtId="0" fontId="66" fillId="6" borderId="0" xfId="0" applyFont="1" applyFill="1" applyAlignment="1">
      <alignment horizontal="left" vertical="top" wrapText="1"/>
    </xf>
    <xf numFmtId="0" fontId="70" fillId="6" borderId="0" xfId="0" applyFont="1" applyFill="1" applyAlignment="1">
      <alignment horizontal="center" wrapText="1"/>
    </xf>
    <xf numFmtId="0" fontId="28" fillId="6" borderId="13" xfId="0" applyFont="1" applyFill="1" applyBorder="1" applyAlignment="1">
      <alignment horizontal="right" vertical="center" wrapText="1"/>
    </xf>
    <xf numFmtId="0" fontId="28" fillId="6" borderId="14" xfId="0" applyFont="1" applyFill="1" applyBorder="1" applyAlignment="1">
      <alignment horizontal="right" vertical="center" wrapText="1"/>
    </xf>
    <xf numFmtId="0" fontId="28" fillId="6" borderId="20" xfId="0" applyFont="1" applyFill="1" applyBorder="1" applyAlignment="1">
      <alignment horizontal="right" vertical="center" wrapText="1"/>
    </xf>
    <xf numFmtId="0" fontId="28" fillId="6" borderId="8" xfId="0" applyFont="1" applyFill="1" applyBorder="1" applyAlignment="1">
      <alignment horizontal="right" vertical="top" wrapText="1"/>
    </xf>
    <xf numFmtId="0" fontId="66" fillId="12" borderId="0" xfId="0" applyFont="1" applyFill="1" applyAlignment="1">
      <alignment horizontal="center" vertical="center" wrapText="1"/>
    </xf>
    <xf numFmtId="4" fontId="66" fillId="12" borderId="0" xfId="0" applyNumberFormat="1" applyFont="1" applyFill="1" applyAlignment="1">
      <alignment horizontal="center" vertical="center" wrapText="1"/>
    </xf>
    <xf numFmtId="0" fontId="70" fillId="12" borderId="8" xfId="0" applyFont="1" applyFill="1" applyBorder="1" applyAlignment="1">
      <alignment horizontal="center" vertical="center" wrapText="1"/>
    </xf>
    <xf numFmtId="0" fontId="70" fillId="12" borderId="8" xfId="0" applyFont="1" applyFill="1" applyBorder="1" applyAlignment="1">
      <alignment vertical="center" wrapText="1"/>
    </xf>
    <xf numFmtId="0" fontId="70" fillId="12" borderId="0" xfId="0" applyFont="1" applyFill="1" applyAlignment="1">
      <alignment horizontal="left" vertical="top" wrapText="1"/>
    </xf>
    <xf numFmtId="0" fontId="70" fillId="12" borderId="0" xfId="0" applyFont="1" applyFill="1" applyAlignment="1">
      <alignment horizontal="center" vertical="top" wrapText="1"/>
    </xf>
    <xf numFmtId="0" fontId="66" fillId="12" borderId="0" xfId="0" applyFont="1" applyFill="1" applyAlignment="1">
      <alignment horizontal="left" vertical="top" wrapText="1"/>
    </xf>
    <xf numFmtId="0" fontId="66" fillId="12" borderId="0" xfId="0" applyFont="1" applyFill="1" applyAlignment="1">
      <alignment horizontal="center" vertical="top" wrapText="1"/>
    </xf>
    <xf numFmtId="2" fontId="35" fillId="0" borderId="8" xfId="7" applyNumberFormat="1" applyFont="1" applyBorder="1" applyAlignment="1">
      <alignment horizontal="center" vertical="center"/>
    </xf>
    <xf numFmtId="0" fontId="3" fillId="5" borderId="58" xfId="7" applyFont="1" applyFill="1" applyBorder="1" applyAlignment="1">
      <alignment horizontal="center" vertical="center"/>
    </xf>
    <xf numFmtId="0" fontId="3" fillId="5" borderId="59" xfId="7" applyFont="1" applyFill="1" applyBorder="1" applyAlignment="1">
      <alignment horizontal="center" vertical="center"/>
    </xf>
    <xf numFmtId="0" fontId="3" fillId="5" borderId="60" xfId="7" applyFont="1" applyFill="1" applyBorder="1" applyAlignment="1">
      <alignment horizontal="center" vertical="center"/>
    </xf>
    <xf numFmtId="0" fontId="3" fillId="5" borderId="63" xfId="7" applyFont="1" applyFill="1" applyBorder="1" applyAlignment="1">
      <alignment horizontal="right" vertical="center"/>
    </xf>
    <xf numFmtId="0" fontId="3" fillId="5" borderId="64" xfId="7" applyFont="1" applyFill="1" applyBorder="1" applyAlignment="1">
      <alignment horizontal="right" vertical="center"/>
    </xf>
    <xf numFmtId="0" fontId="3" fillId="4" borderId="37" xfId="25" applyFont="1" applyFill="1" applyBorder="1" applyAlignment="1">
      <alignment horizontal="center" vertical="center" wrapText="1"/>
    </xf>
    <xf numFmtId="0" fontId="3" fillId="4" borderId="49" xfId="25" applyFont="1" applyFill="1" applyBorder="1" applyAlignment="1">
      <alignment horizontal="center" vertical="center" wrapText="1"/>
    </xf>
    <xf numFmtId="0" fontId="3" fillId="4" borderId="50" xfId="25" applyFont="1" applyFill="1" applyBorder="1" applyAlignment="1">
      <alignment horizontal="center" vertical="center" wrapText="1"/>
    </xf>
    <xf numFmtId="0" fontId="28" fillId="5" borderId="51" xfId="25" applyFont="1" applyFill="1" applyBorder="1" applyAlignment="1">
      <alignment horizontal="left" vertical="center" wrapText="1"/>
    </xf>
    <xf numFmtId="0" fontId="28" fillId="5" borderId="32" xfId="25" applyFont="1" applyFill="1" applyBorder="1" applyAlignment="1">
      <alignment horizontal="left" vertical="center" wrapText="1"/>
    </xf>
    <xf numFmtId="0" fontId="28" fillId="5" borderId="52" xfId="25" applyFont="1" applyFill="1" applyBorder="1" applyAlignment="1">
      <alignment horizontal="left" vertical="center" wrapText="1"/>
    </xf>
    <xf numFmtId="0" fontId="28" fillId="5" borderId="5" xfId="25" applyFont="1" applyFill="1" applyBorder="1" applyAlignment="1">
      <alignment horizontal="left" vertical="center" wrapText="1"/>
    </xf>
    <xf numFmtId="0" fontId="28" fillId="5" borderId="0" xfId="25" applyFont="1" applyFill="1" applyAlignment="1">
      <alignment horizontal="left" vertical="center" wrapText="1"/>
    </xf>
    <xf numFmtId="0" fontId="28" fillId="5" borderId="11" xfId="25" applyFont="1" applyFill="1" applyBorder="1" applyAlignment="1">
      <alignment horizontal="left" vertical="center" wrapText="1"/>
    </xf>
    <xf numFmtId="0" fontId="28" fillId="5" borderId="6" xfId="25" applyFont="1" applyFill="1" applyBorder="1" applyAlignment="1">
      <alignment horizontal="left" vertical="center" wrapText="1"/>
    </xf>
    <xf numFmtId="0" fontId="28" fillId="5" borderId="7" xfId="25" applyFont="1" applyFill="1" applyBorder="1" applyAlignment="1">
      <alignment horizontal="left" vertical="center" wrapText="1"/>
    </xf>
    <xf numFmtId="0" fontId="28" fillId="5" borderId="12" xfId="25" applyFont="1" applyFill="1" applyBorder="1" applyAlignment="1">
      <alignment horizontal="left" vertical="center" wrapText="1"/>
    </xf>
    <xf numFmtId="0" fontId="3" fillId="5" borderId="51" xfId="7" applyFont="1" applyFill="1" applyBorder="1" applyAlignment="1">
      <alignment horizontal="center" vertical="center"/>
    </xf>
    <xf numFmtId="0" fontId="3" fillId="5" borderId="32" xfId="7" applyFont="1" applyFill="1" applyBorder="1" applyAlignment="1">
      <alignment horizontal="center" vertical="center"/>
    </xf>
    <xf numFmtId="0" fontId="3" fillId="5" borderId="52" xfId="7" applyFont="1" applyFill="1" applyBorder="1" applyAlignment="1">
      <alignment horizontal="center" vertical="center"/>
    </xf>
    <xf numFmtId="0" fontId="3" fillId="5" borderId="55" xfId="7" applyFont="1" applyFill="1" applyBorder="1" applyAlignment="1">
      <alignment horizontal="right" vertical="center"/>
    </xf>
    <xf numFmtId="0" fontId="3" fillId="5" borderId="56" xfId="7" applyFont="1" applyFill="1" applyBorder="1" applyAlignment="1">
      <alignment horizontal="right" vertical="center"/>
    </xf>
    <xf numFmtId="0" fontId="2" fillId="6" borderId="5" xfId="25" applyFill="1" applyBorder="1" applyAlignment="1">
      <alignment horizontal="left" vertical="center" wrapText="1"/>
    </xf>
    <xf numFmtId="0" fontId="2" fillId="6" borderId="11" xfId="25" applyFill="1" applyBorder="1" applyAlignment="1">
      <alignment horizontal="left" vertical="center" wrapText="1"/>
    </xf>
    <xf numFmtId="0" fontId="2" fillId="6" borderId="5" xfId="25" applyFill="1" applyBorder="1" applyAlignment="1">
      <alignment horizontal="justify" vertical="center" wrapText="1"/>
    </xf>
    <xf numFmtId="0" fontId="2" fillId="6" borderId="11" xfId="25" applyFill="1" applyBorder="1" applyAlignment="1">
      <alignment horizontal="justify" vertical="center" wrapText="1"/>
    </xf>
    <xf numFmtId="0" fontId="28" fillId="6" borderId="7" xfId="25" applyFont="1" applyFill="1" applyBorder="1" applyAlignment="1">
      <alignment horizontal="justify" vertical="center" wrapText="1"/>
    </xf>
    <xf numFmtId="0" fontId="3" fillId="4" borderId="2" xfId="25" applyFont="1" applyFill="1" applyBorder="1" applyAlignment="1">
      <alignment horizontal="center" vertical="center" wrapText="1"/>
    </xf>
    <xf numFmtId="0" fontId="28" fillId="6" borderId="4" xfId="25" applyFont="1" applyFill="1" applyBorder="1" applyAlignment="1">
      <alignment horizontal="justify" vertical="center" wrapText="1"/>
    </xf>
    <xf numFmtId="0" fontId="64" fillId="6" borderId="8" xfId="36" applyFont="1" applyFill="1" applyBorder="1" applyAlignment="1">
      <alignment horizontal="center" vertical="center" wrapText="1"/>
    </xf>
    <xf numFmtId="0" fontId="64" fillId="6" borderId="8" xfId="36" applyFont="1" applyFill="1" applyBorder="1" applyAlignment="1">
      <alignment horizontal="left" vertical="center" wrapText="1"/>
    </xf>
    <xf numFmtId="0" fontId="3" fillId="9" borderId="29" xfId="36" applyFont="1" applyFill="1" applyBorder="1" applyAlignment="1">
      <alignment horizontal="center" vertical="center" wrapText="1"/>
    </xf>
    <xf numFmtId="0" fontId="3" fillId="9" borderId="30" xfId="36" applyFont="1" applyFill="1" applyBorder="1" applyAlignment="1">
      <alignment horizontal="center" vertical="center" wrapText="1"/>
    </xf>
    <xf numFmtId="0" fontId="2" fillId="11" borderId="4" xfId="36" applyFont="1" applyFill="1" applyBorder="1" applyAlignment="1">
      <alignment horizontal="left" vertical="center" wrapText="1"/>
    </xf>
    <xf numFmtId="0" fontId="2" fillId="11" borderId="10" xfId="36" applyFont="1" applyFill="1" applyBorder="1" applyAlignment="1">
      <alignment horizontal="left" vertical="center" wrapText="1"/>
    </xf>
    <xf numFmtId="0" fontId="2" fillId="11" borderId="34" xfId="36" applyFont="1" applyFill="1" applyBorder="1" applyAlignment="1">
      <alignment horizontal="left" vertical="center" wrapText="1"/>
    </xf>
    <xf numFmtId="0" fontId="2" fillId="11" borderId="40" xfId="36" applyFont="1" applyFill="1" applyBorder="1" applyAlignment="1">
      <alignment horizontal="left" vertical="center" wrapText="1"/>
    </xf>
    <xf numFmtId="14" fontId="2" fillId="11" borderId="36" xfId="36" applyNumberFormat="1" applyFont="1" applyFill="1" applyBorder="1" applyAlignment="1">
      <alignment horizontal="left" vertical="center" wrapText="1"/>
    </xf>
    <xf numFmtId="14" fontId="2" fillId="11" borderId="41" xfId="36" applyNumberFormat="1" applyFont="1" applyFill="1" applyBorder="1" applyAlignment="1">
      <alignment horizontal="left" vertical="center" wrapText="1"/>
    </xf>
    <xf numFmtId="2" fontId="35" fillId="0" borderId="8" xfId="7" applyNumberFormat="1" applyFont="1" applyBorder="1" applyAlignment="1">
      <alignment vertical="center"/>
    </xf>
    <xf numFmtId="0" fontId="64" fillId="6" borderId="17" xfId="36" applyFont="1" applyFill="1" applyBorder="1" applyAlignment="1">
      <alignment horizontal="center" vertical="center" wrapText="1"/>
    </xf>
    <xf numFmtId="0" fontId="64" fillId="6" borderId="17" xfId="36" applyFont="1" applyFill="1" applyBorder="1" applyAlignment="1">
      <alignment horizontal="left" vertical="center" wrapText="1"/>
    </xf>
    <xf numFmtId="0" fontId="66" fillId="12" borderId="0" xfId="36" applyFont="1" applyFill="1" applyAlignment="1">
      <alignment horizontal="left" vertical="top" wrapText="1"/>
    </xf>
    <xf numFmtId="49" fontId="28" fillId="4" borderId="0" xfId="25" applyNumberFormat="1" applyFont="1" applyFill="1" applyBorder="1" applyAlignment="1">
      <alignment horizontal="center" vertical="center"/>
    </xf>
    <xf numFmtId="0" fontId="3" fillId="4" borderId="0" xfId="25" applyFont="1" applyFill="1" applyBorder="1" applyAlignment="1">
      <alignment horizontal="center" vertical="center" wrapText="1"/>
    </xf>
    <xf numFmtId="49" fontId="3" fillId="4" borderId="0" xfId="25" applyNumberFormat="1" applyFont="1" applyFill="1" applyBorder="1" applyAlignment="1">
      <alignment horizontal="left" vertical="center"/>
    </xf>
    <xf numFmtId="0" fontId="28" fillId="5" borderId="0" xfId="26" applyFont="1" applyFill="1" applyBorder="1" applyAlignment="1">
      <alignment horizontal="center" vertical="center" wrapText="1"/>
    </xf>
    <xf numFmtId="0" fontId="3" fillId="5" borderId="0" xfId="26" applyFont="1" applyFill="1" applyBorder="1" applyAlignment="1">
      <alignment horizontal="center" vertical="center" wrapText="1"/>
    </xf>
    <xf numFmtId="0" fontId="3" fillId="5" borderId="0" xfId="26" applyFont="1" applyFill="1" applyBorder="1" applyAlignment="1">
      <alignment horizontal="left" vertical="center" wrapText="1"/>
    </xf>
    <xf numFmtId="0" fontId="2" fillId="0" borderId="0" xfId="26"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0" xfId="26" applyBorder="1" applyAlignment="1">
      <alignment horizontal="center" vertical="center" wrapText="1"/>
    </xf>
    <xf numFmtId="0" fontId="5" fillId="6" borderId="0" xfId="0" applyFont="1" applyFill="1" applyBorder="1" applyAlignment="1">
      <alignment horizontal="center" vertical="center"/>
    </xf>
    <xf numFmtId="0" fontId="5" fillId="6"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2" fillId="6" borderId="0" xfId="26" applyFill="1" applyBorder="1" applyAlignment="1">
      <alignment horizontal="center" vertical="center" wrapText="1"/>
    </xf>
    <xf numFmtId="0" fontId="31" fillId="7" borderId="0" xfId="26" applyFont="1" applyFill="1" applyBorder="1" applyAlignment="1">
      <alignment horizontal="center" vertical="center" wrapText="1"/>
    </xf>
    <xf numFmtId="0" fontId="10" fillId="7" borderId="0" xfId="0" applyFont="1" applyFill="1" applyBorder="1" applyAlignment="1">
      <alignment horizontal="center" vertical="center" wrapText="1"/>
    </xf>
    <xf numFmtId="0" fontId="9" fillId="7" borderId="0" xfId="0" applyFont="1" applyFill="1" applyBorder="1" applyAlignment="1">
      <alignment horizontal="left" vertical="center" wrapText="1"/>
    </xf>
    <xf numFmtId="43" fontId="28" fillId="5" borderId="0" xfId="1" applyFont="1" applyFill="1" applyBorder="1" applyAlignment="1">
      <alignment horizontal="center" vertical="center" wrapText="1"/>
    </xf>
    <xf numFmtId="0" fontId="28" fillId="7" borderId="0" xfId="26" applyFont="1" applyFill="1" applyBorder="1" applyAlignment="1">
      <alignment horizontal="center" vertical="center" wrapText="1"/>
    </xf>
    <xf numFmtId="0" fontId="3" fillId="7" borderId="0" xfId="26" applyFont="1" applyFill="1" applyBorder="1" applyAlignment="1">
      <alignment horizontal="center" vertical="center" wrapText="1"/>
    </xf>
    <xf numFmtId="0" fontId="3" fillId="7" borderId="0" xfId="26" applyFont="1" applyFill="1" applyBorder="1" applyAlignment="1">
      <alignment horizontal="left" vertical="center" wrapText="1"/>
    </xf>
    <xf numFmtId="0" fontId="2" fillId="6" borderId="0" xfId="26" applyFill="1" applyBorder="1" applyAlignment="1">
      <alignment horizontal="center" vertical="center" wrapText="1"/>
    </xf>
    <xf numFmtId="43" fontId="32" fillId="7" borderId="0" xfId="1" applyFont="1" applyFill="1" applyBorder="1" applyAlignment="1">
      <alignment horizontal="center" vertical="center" wrapText="1"/>
    </xf>
    <xf numFmtId="0" fontId="28" fillId="0" borderId="0" xfId="26" applyFont="1" applyBorder="1" applyAlignment="1">
      <alignment horizontal="center" vertical="center" wrapText="1"/>
    </xf>
    <xf numFmtId="166" fontId="6" fillId="0" borderId="0" xfId="0" applyNumberFormat="1" applyFont="1" applyBorder="1" applyAlignment="1">
      <alignment horizontal="center" vertical="top" shrinkToFit="1"/>
    </xf>
    <xf numFmtId="0" fontId="4" fillId="0" borderId="0" xfId="0" applyFont="1" applyBorder="1" applyAlignment="1">
      <alignment horizontal="left" vertical="top" wrapText="1"/>
    </xf>
    <xf numFmtId="0" fontId="0" fillId="0" borderId="0" xfId="0" applyBorder="1" applyAlignment="1">
      <alignment horizontal="center"/>
    </xf>
    <xf numFmtId="0" fontId="7" fillId="5" borderId="0" xfId="0" applyFont="1" applyFill="1" applyBorder="1" applyAlignment="1">
      <alignment horizontal="center" vertical="center" wrapText="1"/>
    </xf>
    <xf numFmtId="0" fontId="3" fillId="5" borderId="0" xfId="0" applyFont="1" applyFill="1" applyBorder="1" applyAlignment="1">
      <alignment horizontal="left" vertical="center" wrapText="1"/>
    </xf>
    <xf numFmtId="0" fontId="35" fillId="6" borderId="0" xfId="26" applyFont="1" applyFill="1" applyBorder="1" applyAlignment="1">
      <alignment horizontal="center" vertical="center" wrapText="1"/>
    </xf>
    <xf numFmtId="3" fontId="35" fillId="6" borderId="0" xfId="26" applyNumberFormat="1" applyFont="1" applyFill="1" applyBorder="1" applyAlignment="1">
      <alignment horizontal="center" vertical="center" wrapText="1"/>
    </xf>
    <xf numFmtId="0" fontId="8" fillId="5" borderId="0" xfId="0" applyFont="1" applyFill="1" applyBorder="1" applyAlignment="1">
      <alignment horizontal="center" vertical="center"/>
    </xf>
    <xf numFmtId="0" fontId="28" fillId="5" borderId="0" xfId="0" applyFont="1" applyFill="1" applyBorder="1" applyAlignment="1">
      <alignment horizontal="left" vertical="center" wrapText="1"/>
    </xf>
    <xf numFmtId="0" fontId="49" fillId="6" borderId="0" xfId="0" applyFont="1" applyFill="1" applyBorder="1" applyAlignment="1">
      <alignment horizontal="center" vertical="center" wrapText="1"/>
    </xf>
    <xf numFmtId="0" fontId="49" fillId="6" borderId="0" xfId="0" applyFont="1" applyFill="1" applyBorder="1" applyAlignment="1">
      <alignment horizontal="left" wrapText="1"/>
    </xf>
    <xf numFmtId="0" fontId="49" fillId="0" borderId="0" xfId="0" applyFont="1" applyBorder="1" applyAlignment="1">
      <alignment horizontal="center" vertical="center" wrapText="1"/>
    </xf>
    <xf numFmtId="0" fontId="5" fillId="0" borderId="0" xfId="0" applyFont="1" applyBorder="1" applyAlignment="1">
      <alignment horizontal="center" vertical="center"/>
    </xf>
    <xf numFmtId="0" fontId="49" fillId="0" borderId="0" xfId="0" applyFont="1" applyBorder="1" applyAlignment="1">
      <alignment horizontal="left" wrapText="1"/>
    </xf>
    <xf numFmtId="0" fontId="28" fillId="6" borderId="51" xfId="25" applyFont="1" applyFill="1" applyBorder="1" applyAlignment="1">
      <alignment horizontal="justify" vertical="center" wrapText="1"/>
    </xf>
    <xf numFmtId="0" fontId="28" fillId="6" borderId="52" xfId="25" applyFont="1" applyFill="1" applyBorder="1" applyAlignment="1">
      <alignment horizontal="justify" vertical="center" wrapText="1"/>
    </xf>
    <xf numFmtId="0" fontId="2" fillId="6" borderId="0" xfId="25" applyFill="1" applyBorder="1" applyAlignment="1">
      <alignment horizontal="left" vertical="center" wrapText="1"/>
    </xf>
    <xf numFmtId="0" fontId="2" fillId="6" borderId="0" xfId="25" applyFill="1" applyBorder="1" applyAlignment="1">
      <alignment horizontal="justify" vertical="center" wrapText="1"/>
    </xf>
    <xf numFmtId="0" fontId="28" fillId="6" borderId="66" xfId="25" applyFont="1" applyFill="1" applyBorder="1" applyAlignment="1">
      <alignment horizontal="justify" vertical="center" wrapText="1"/>
    </xf>
    <xf numFmtId="0" fontId="28" fillId="6" borderId="41" xfId="25" applyFont="1" applyFill="1" applyBorder="1" applyAlignment="1">
      <alignment horizontal="justify" vertical="center" wrapText="1"/>
    </xf>
    <xf numFmtId="0" fontId="47" fillId="5" borderId="52" xfId="25" applyFont="1" applyFill="1" applyBorder="1" applyAlignment="1">
      <alignment horizontal="left" vertical="center" wrapText="1"/>
    </xf>
    <xf numFmtId="0" fontId="47" fillId="5" borderId="0" xfId="25" applyFont="1" applyFill="1" applyBorder="1" applyAlignment="1">
      <alignment horizontal="left" vertical="center" wrapText="1"/>
    </xf>
    <xf numFmtId="14" fontId="47" fillId="5" borderId="41" xfId="25" applyNumberFormat="1" applyFont="1" applyFill="1" applyBorder="1" applyAlignment="1">
      <alignment horizontal="left" vertical="center" wrapText="1"/>
    </xf>
    <xf numFmtId="0" fontId="28" fillId="5" borderId="51" xfId="25" applyFont="1" applyFill="1" applyBorder="1" applyAlignment="1">
      <alignment horizontal="left" vertical="center"/>
    </xf>
    <xf numFmtId="0" fontId="28" fillId="5" borderId="66" xfId="25" applyFont="1" applyFill="1" applyBorder="1" applyAlignment="1">
      <alignment horizontal="left" vertical="center"/>
    </xf>
    <xf numFmtId="0" fontId="3" fillId="4" borderId="67" xfId="25" applyFont="1" applyFill="1" applyBorder="1" applyAlignment="1">
      <alignment horizontal="center" vertical="center" wrapText="1"/>
    </xf>
  </cellXfs>
  <cellStyles count="39">
    <cellStyle name="Excel Built-in Normal" xfId="13" xr:uid="{00000000-0005-0000-0000-000000000000}"/>
    <cellStyle name="Excel Built-in Normal 1" xfId="16" xr:uid="{00000000-0005-0000-0000-000001000000}"/>
    <cellStyle name="Hiperlink" xfId="6" builtinId="8"/>
    <cellStyle name="Moeda 2" xfId="11" xr:uid="{00000000-0005-0000-0000-000003000000}"/>
    <cellStyle name="Moeda 2 2" xfId="5" xr:uid="{00000000-0005-0000-0000-000004000000}"/>
    <cellStyle name="Moeda 2 2 2" xfId="14" xr:uid="{00000000-0005-0000-0000-000005000000}"/>
    <cellStyle name="Moeda 2 2 2 2" xfId="10" xr:uid="{00000000-0005-0000-0000-000006000000}"/>
    <cellStyle name="Moeda 2 3" xfId="15" xr:uid="{00000000-0005-0000-0000-000007000000}"/>
    <cellStyle name="Moeda 2 3 2" xfId="18" xr:uid="{00000000-0005-0000-0000-000008000000}"/>
    <cellStyle name="Moeda 2 3 3" xfId="3" xr:uid="{00000000-0005-0000-0000-000009000000}"/>
    <cellStyle name="Moeda 3" xfId="12" xr:uid="{00000000-0005-0000-0000-00000A000000}"/>
    <cellStyle name="Moeda 3 2" xfId="19" xr:uid="{00000000-0005-0000-0000-00000B000000}"/>
    <cellStyle name="Moeda 3 3" xfId="35" xr:uid="{00000000-0005-0000-0000-00000C000000}"/>
    <cellStyle name="Moeda 4" xfId="8" xr:uid="{00000000-0005-0000-0000-00000D000000}"/>
    <cellStyle name="Moeda 4 2" xfId="20" xr:uid="{00000000-0005-0000-0000-00000E000000}"/>
    <cellStyle name="Moeda 5" xfId="9" xr:uid="{00000000-0005-0000-0000-00000F000000}"/>
    <cellStyle name="Normal" xfId="0" builtinId="0"/>
    <cellStyle name="Normal 2" xfId="7" xr:uid="{00000000-0005-0000-0000-000011000000}"/>
    <cellStyle name="Normal 2 2" xfId="21" xr:uid="{00000000-0005-0000-0000-000012000000}"/>
    <cellStyle name="Normal 2 2 2" xfId="22" xr:uid="{00000000-0005-0000-0000-000013000000}"/>
    <cellStyle name="Normal 2 3" xfId="23" xr:uid="{00000000-0005-0000-0000-000014000000}"/>
    <cellStyle name="Normal 3" xfId="24" xr:uid="{00000000-0005-0000-0000-000015000000}"/>
    <cellStyle name="Normal 3 2" xfId="4" xr:uid="{00000000-0005-0000-0000-000016000000}"/>
    <cellStyle name="Normal 4" xfId="17" xr:uid="{00000000-0005-0000-0000-000017000000}"/>
    <cellStyle name="Normal 5" xfId="2" xr:uid="{00000000-0005-0000-0000-000018000000}"/>
    <cellStyle name="Normal 6" xfId="25" xr:uid="{00000000-0005-0000-0000-000019000000}"/>
    <cellStyle name="Normal 6 2" xfId="26" xr:uid="{00000000-0005-0000-0000-00001A000000}"/>
    <cellStyle name="Normal 7" xfId="27" xr:uid="{00000000-0005-0000-0000-00001B000000}"/>
    <cellStyle name="Normal 8" xfId="36" xr:uid="{3462643E-3C46-49C6-AF13-2D1E8748337B}"/>
    <cellStyle name="Porcentagem" xfId="38" builtinId="5"/>
    <cellStyle name="Porcentagem 2" xfId="28" xr:uid="{00000000-0005-0000-0000-00001C000000}"/>
    <cellStyle name="Porcentagem 3" xfId="37" xr:uid="{089FE5B2-B03B-4DBE-934C-4E9F23827FB4}"/>
    <cellStyle name="Separador de milhares 2" xfId="29" xr:uid="{00000000-0005-0000-0000-00001D000000}"/>
    <cellStyle name="Separador de milhares 2 2" xfId="30" xr:uid="{00000000-0005-0000-0000-00001E000000}"/>
    <cellStyle name="Título 1 1" xfId="31" xr:uid="{00000000-0005-0000-0000-00001F000000}"/>
    <cellStyle name="Vírgula" xfId="1" builtinId="3"/>
    <cellStyle name="Vírgula 2" xfId="32" xr:uid="{00000000-0005-0000-0000-000021000000}"/>
    <cellStyle name="Vírgula 2 2" xfId="33" xr:uid="{00000000-0005-0000-0000-000022000000}"/>
    <cellStyle name="Vírgula 3" xfId="34" xr:uid="{00000000-0005-0000-0000-000023000000}"/>
  </cellStyles>
  <dxfs count="0"/>
  <tableStyles count="0" defaultTableStyle="TableStyleMedium2" defaultPivotStyle="PivotStyleLight16"/>
  <colors>
    <mruColors>
      <color rgb="FFFEB1A4"/>
      <color rgb="FFF94723"/>
      <color rgb="FFFD827F"/>
      <color rgb="FFFA6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4250267</xdr:colOff>
      <xdr:row>244</xdr:row>
      <xdr:rowOff>0</xdr:rowOff>
    </xdr:from>
    <xdr:ext cx="184731" cy="264560"/>
    <xdr:sp macro="" textlink="">
      <xdr:nvSpPr>
        <xdr:cNvPr id="2" name="CaixaDeTexto 1">
          <a:extLst>
            <a:ext uri="{FF2B5EF4-FFF2-40B4-BE49-F238E27FC236}">
              <a16:creationId xmlns:a16="http://schemas.microsoft.com/office/drawing/2014/main" id="{00000000-0008-0000-0200-000002000000}"/>
            </a:ext>
          </a:extLst>
        </xdr:cNvPr>
        <xdr:cNvSpPr txBox="1"/>
      </xdr:nvSpPr>
      <xdr:spPr>
        <a:xfrm>
          <a:off x="5255895" y="1893697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252</xdr:row>
      <xdr:rowOff>0</xdr:rowOff>
    </xdr:from>
    <xdr:ext cx="184731" cy="264560"/>
    <xdr:sp macro="" textlink="">
      <xdr:nvSpPr>
        <xdr:cNvPr id="3" name="CaixaDeTexto 2">
          <a:extLst>
            <a:ext uri="{FF2B5EF4-FFF2-40B4-BE49-F238E27FC236}">
              <a16:creationId xmlns:a16="http://schemas.microsoft.com/office/drawing/2014/main" id="{16B8750C-6CED-4BCD-ADB4-34E3AA3BFC39}"/>
            </a:ext>
          </a:extLst>
        </xdr:cNvPr>
        <xdr:cNvSpPr txBox="1"/>
      </xdr:nvSpPr>
      <xdr:spPr>
        <a:xfrm>
          <a:off x="5278967" y="480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268</xdr:row>
      <xdr:rowOff>0</xdr:rowOff>
    </xdr:from>
    <xdr:ext cx="184731" cy="264560"/>
    <xdr:sp macro="" textlink="">
      <xdr:nvSpPr>
        <xdr:cNvPr id="5" name="CaixaDeTexto 4">
          <a:extLst>
            <a:ext uri="{FF2B5EF4-FFF2-40B4-BE49-F238E27FC236}">
              <a16:creationId xmlns:a16="http://schemas.microsoft.com/office/drawing/2014/main" id="{744EDB97-7007-4D59-B784-5957FC101C4A}"/>
            </a:ext>
          </a:extLst>
        </xdr:cNvPr>
        <xdr:cNvSpPr txBox="1"/>
      </xdr:nvSpPr>
      <xdr:spPr>
        <a:xfrm>
          <a:off x="5278967" y="5120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6" name="CaixaDeTexto 5">
          <a:extLst>
            <a:ext uri="{FF2B5EF4-FFF2-40B4-BE49-F238E27FC236}">
              <a16:creationId xmlns:a16="http://schemas.microsoft.com/office/drawing/2014/main" id="{73362610-73A8-4782-87F8-C85BD9C8ADAC}"/>
            </a:ext>
          </a:extLst>
        </xdr:cNvPr>
        <xdr:cNvSpPr txBox="1"/>
      </xdr:nvSpPr>
      <xdr:spPr>
        <a:xfrm>
          <a:off x="5278967" y="528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284</xdr:row>
      <xdr:rowOff>0</xdr:rowOff>
    </xdr:from>
    <xdr:ext cx="184731" cy="264560"/>
    <xdr:sp macro="" textlink="">
      <xdr:nvSpPr>
        <xdr:cNvPr id="7" name="CaixaDeTexto 6">
          <a:extLst>
            <a:ext uri="{FF2B5EF4-FFF2-40B4-BE49-F238E27FC236}">
              <a16:creationId xmlns:a16="http://schemas.microsoft.com/office/drawing/2014/main" id="{BAA24A55-9A7D-4207-9DCD-C930BDC3A920}"/>
            </a:ext>
          </a:extLst>
        </xdr:cNvPr>
        <xdr:cNvSpPr txBox="1"/>
      </xdr:nvSpPr>
      <xdr:spPr>
        <a:xfrm>
          <a:off x="5278967"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9" name="CaixaDeTexto 8">
          <a:extLst>
            <a:ext uri="{FF2B5EF4-FFF2-40B4-BE49-F238E27FC236}">
              <a16:creationId xmlns:a16="http://schemas.microsoft.com/office/drawing/2014/main" id="{CC5E265F-0676-43FC-BB28-AA7173AF4AFE}"/>
            </a:ext>
          </a:extLst>
        </xdr:cNvPr>
        <xdr:cNvSpPr txBox="1"/>
      </xdr:nvSpPr>
      <xdr:spPr>
        <a:xfrm>
          <a:off x="5278967" y="576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10" name="CaixaDeTexto 9">
          <a:extLst>
            <a:ext uri="{FF2B5EF4-FFF2-40B4-BE49-F238E27FC236}">
              <a16:creationId xmlns:a16="http://schemas.microsoft.com/office/drawing/2014/main" id="{E8732B24-2499-46A9-A6F6-9599C189EC83}"/>
            </a:ext>
          </a:extLst>
        </xdr:cNvPr>
        <xdr:cNvSpPr txBox="1"/>
      </xdr:nvSpPr>
      <xdr:spPr>
        <a:xfrm>
          <a:off x="5278967" y="5920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11" name="CaixaDeTexto 10">
          <a:extLst>
            <a:ext uri="{FF2B5EF4-FFF2-40B4-BE49-F238E27FC236}">
              <a16:creationId xmlns:a16="http://schemas.microsoft.com/office/drawing/2014/main" id="{F551D67F-74A8-4EAC-AFBA-4F0E9CDCA69D}"/>
            </a:ext>
          </a:extLst>
        </xdr:cNvPr>
        <xdr:cNvSpPr txBox="1"/>
      </xdr:nvSpPr>
      <xdr:spPr>
        <a:xfrm>
          <a:off x="5278967" y="6080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2" name="CaixaDeTexto 11">
          <a:extLst>
            <a:ext uri="{FF2B5EF4-FFF2-40B4-BE49-F238E27FC236}">
              <a16:creationId xmlns:a16="http://schemas.microsoft.com/office/drawing/2014/main" id="{79E76935-1DFE-4DC8-AA83-0E518880B43A}"/>
            </a:ext>
          </a:extLst>
        </xdr:cNvPr>
        <xdr:cNvSpPr txBox="1"/>
      </xdr:nvSpPr>
      <xdr:spPr>
        <a:xfrm>
          <a:off x="5278967"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3" name="CaixaDeTexto 12">
          <a:extLst>
            <a:ext uri="{FF2B5EF4-FFF2-40B4-BE49-F238E27FC236}">
              <a16:creationId xmlns:a16="http://schemas.microsoft.com/office/drawing/2014/main" id="{2A877BFC-BEC1-46C4-853B-717E10563031}"/>
            </a:ext>
          </a:extLst>
        </xdr:cNvPr>
        <xdr:cNvSpPr txBox="1"/>
      </xdr:nvSpPr>
      <xdr:spPr>
        <a:xfrm>
          <a:off x="5278967" y="640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348</xdr:row>
      <xdr:rowOff>0</xdr:rowOff>
    </xdr:from>
    <xdr:ext cx="184731" cy="264560"/>
    <xdr:sp macro="" textlink="">
      <xdr:nvSpPr>
        <xdr:cNvPr id="15" name="CaixaDeTexto 14">
          <a:extLst>
            <a:ext uri="{FF2B5EF4-FFF2-40B4-BE49-F238E27FC236}">
              <a16:creationId xmlns:a16="http://schemas.microsoft.com/office/drawing/2014/main" id="{4DF46C83-BE6D-4D41-B82B-3ED8FED7C34D}"/>
            </a:ext>
          </a:extLst>
        </xdr:cNvPr>
        <xdr:cNvSpPr txBox="1"/>
      </xdr:nvSpPr>
      <xdr:spPr>
        <a:xfrm>
          <a:off x="5278967" y="6720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16" name="CaixaDeTexto 15">
          <a:extLst>
            <a:ext uri="{FF2B5EF4-FFF2-40B4-BE49-F238E27FC236}">
              <a16:creationId xmlns:a16="http://schemas.microsoft.com/office/drawing/2014/main" id="{EAE25C57-9884-4EC3-B8A6-6347398622C7}"/>
            </a:ext>
          </a:extLst>
        </xdr:cNvPr>
        <xdr:cNvSpPr txBox="1"/>
      </xdr:nvSpPr>
      <xdr:spPr>
        <a:xfrm>
          <a:off x="5278967"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18" name="CaixaDeTexto 17">
          <a:extLst>
            <a:ext uri="{FF2B5EF4-FFF2-40B4-BE49-F238E27FC236}">
              <a16:creationId xmlns:a16="http://schemas.microsoft.com/office/drawing/2014/main" id="{BF32D916-BC12-47E0-B9D4-827979F9A7BC}"/>
            </a:ext>
          </a:extLst>
        </xdr:cNvPr>
        <xdr:cNvSpPr txBox="1"/>
      </xdr:nvSpPr>
      <xdr:spPr>
        <a:xfrm>
          <a:off x="5278967" y="704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372</xdr:row>
      <xdr:rowOff>0</xdr:rowOff>
    </xdr:from>
    <xdr:ext cx="184731" cy="264560"/>
    <xdr:sp macro="" textlink="">
      <xdr:nvSpPr>
        <xdr:cNvPr id="19" name="CaixaDeTexto 18">
          <a:extLst>
            <a:ext uri="{FF2B5EF4-FFF2-40B4-BE49-F238E27FC236}">
              <a16:creationId xmlns:a16="http://schemas.microsoft.com/office/drawing/2014/main" id="{7B8437B2-9DF3-4A17-979A-480616621485}"/>
            </a:ext>
          </a:extLst>
        </xdr:cNvPr>
        <xdr:cNvSpPr txBox="1"/>
      </xdr:nvSpPr>
      <xdr:spPr>
        <a:xfrm>
          <a:off x="5278967" y="720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20" name="CaixaDeTexto 19">
          <a:extLst>
            <a:ext uri="{FF2B5EF4-FFF2-40B4-BE49-F238E27FC236}">
              <a16:creationId xmlns:a16="http://schemas.microsoft.com/office/drawing/2014/main" id="{BE95BC00-7C98-4055-A11E-83DEF78DDBF6}"/>
            </a:ext>
          </a:extLst>
        </xdr:cNvPr>
        <xdr:cNvSpPr txBox="1"/>
      </xdr:nvSpPr>
      <xdr:spPr>
        <a:xfrm>
          <a:off x="5278967"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21" name="CaixaDeTexto 20">
          <a:extLst>
            <a:ext uri="{FF2B5EF4-FFF2-40B4-BE49-F238E27FC236}">
              <a16:creationId xmlns:a16="http://schemas.microsoft.com/office/drawing/2014/main" id="{4C63DCA9-324A-4D82-9A3B-69A76CA837E2}"/>
            </a:ext>
          </a:extLst>
        </xdr:cNvPr>
        <xdr:cNvSpPr txBox="1"/>
      </xdr:nvSpPr>
      <xdr:spPr>
        <a:xfrm>
          <a:off x="5278967" y="7520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396</xdr:row>
      <xdr:rowOff>0</xdr:rowOff>
    </xdr:from>
    <xdr:ext cx="184731" cy="264560"/>
    <xdr:sp macro="" textlink="">
      <xdr:nvSpPr>
        <xdr:cNvPr id="22" name="CaixaDeTexto 21">
          <a:extLst>
            <a:ext uri="{FF2B5EF4-FFF2-40B4-BE49-F238E27FC236}">
              <a16:creationId xmlns:a16="http://schemas.microsoft.com/office/drawing/2014/main" id="{844427EA-2C08-4C84-8FCF-D7CDEB92FD00}"/>
            </a:ext>
          </a:extLst>
        </xdr:cNvPr>
        <xdr:cNvSpPr txBox="1"/>
      </xdr:nvSpPr>
      <xdr:spPr>
        <a:xfrm>
          <a:off x="5278967" y="768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23" name="CaixaDeTexto 22">
          <a:extLst>
            <a:ext uri="{FF2B5EF4-FFF2-40B4-BE49-F238E27FC236}">
              <a16:creationId xmlns:a16="http://schemas.microsoft.com/office/drawing/2014/main" id="{7151C4BA-ADB8-4595-8EED-4077DEC83B5F}"/>
            </a:ext>
          </a:extLst>
        </xdr:cNvPr>
        <xdr:cNvSpPr txBox="1"/>
      </xdr:nvSpPr>
      <xdr:spPr>
        <a:xfrm>
          <a:off x="5278967" y="784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24" name="CaixaDeTexto 23">
          <a:extLst>
            <a:ext uri="{FF2B5EF4-FFF2-40B4-BE49-F238E27FC236}">
              <a16:creationId xmlns:a16="http://schemas.microsoft.com/office/drawing/2014/main" id="{444A240B-DE39-453F-888F-DE129B9BA75C}"/>
            </a:ext>
          </a:extLst>
        </xdr:cNvPr>
        <xdr:cNvSpPr txBox="1"/>
      </xdr:nvSpPr>
      <xdr:spPr>
        <a:xfrm>
          <a:off x="5278967"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17" name="CaixaDeTexto 16">
          <a:extLst>
            <a:ext uri="{FF2B5EF4-FFF2-40B4-BE49-F238E27FC236}">
              <a16:creationId xmlns:a16="http://schemas.microsoft.com/office/drawing/2014/main" id="{56CBA9C5-65F1-4B7F-A29A-08297BF6BBA0}"/>
            </a:ext>
          </a:extLst>
        </xdr:cNvPr>
        <xdr:cNvSpPr txBox="1"/>
      </xdr:nvSpPr>
      <xdr:spPr>
        <a:xfrm>
          <a:off x="5278967" y="816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27" name="CaixaDeTexto 26">
          <a:extLst>
            <a:ext uri="{FF2B5EF4-FFF2-40B4-BE49-F238E27FC236}">
              <a16:creationId xmlns:a16="http://schemas.microsoft.com/office/drawing/2014/main" id="{16CA0747-EBD0-4BF5-9C5E-2FFBA30EC332}"/>
            </a:ext>
          </a:extLst>
        </xdr:cNvPr>
        <xdr:cNvSpPr txBox="1"/>
      </xdr:nvSpPr>
      <xdr:spPr>
        <a:xfrm>
          <a:off x="5250392" y="560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284</xdr:row>
      <xdr:rowOff>0</xdr:rowOff>
    </xdr:from>
    <xdr:ext cx="184731" cy="264560"/>
    <xdr:sp macro="" textlink="">
      <xdr:nvSpPr>
        <xdr:cNvPr id="28" name="CaixaDeTexto 27">
          <a:extLst>
            <a:ext uri="{FF2B5EF4-FFF2-40B4-BE49-F238E27FC236}">
              <a16:creationId xmlns:a16="http://schemas.microsoft.com/office/drawing/2014/main" id="{B0AE784D-55CC-4C17-8E49-0B4392A8E0F1}"/>
            </a:ext>
          </a:extLst>
        </xdr:cNvPr>
        <xdr:cNvSpPr txBox="1"/>
      </xdr:nvSpPr>
      <xdr:spPr>
        <a:xfrm>
          <a:off x="5250392" y="576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31" name="CaixaDeTexto 30">
          <a:extLst>
            <a:ext uri="{FF2B5EF4-FFF2-40B4-BE49-F238E27FC236}">
              <a16:creationId xmlns:a16="http://schemas.microsoft.com/office/drawing/2014/main" id="{3CC7A30E-F6E3-428A-9E13-CF65A32BF14C}"/>
            </a:ext>
          </a:extLst>
        </xdr:cNvPr>
        <xdr:cNvSpPr txBox="1"/>
      </xdr:nvSpPr>
      <xdr:spPr>
        <a:xfrm>
          <a:off x="5250392" y="5640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32" name="CaixaDeTexto 31">
          <a:extLst>
            <a:ext uri="{FF2B5EF4-FFF2-40B4-BE49-F238E27FC236}">
              <a16:creationId xmlns:a16="http://schemas.microsoft.com/office/drawing/2014/main" id="{25A34584-8169-4729-AE44-85DA6114D246}"/>
            </a:ext>
          </a:extLst>
        </xdr:cNvPr>
        <xdr:cNvSpPr txBox="1"/>
      </xdr:nvSpPr>
      <xdr:spPr>
        <a:xfrm>
          <a:off x="5250392" y="5640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33" name="CaixaDeTexto 32">
          <a:extLst>
            <a:ext uri="{FF2B5EF4-FFF2-40B4-BE49-F238E27FC236}">
              <a16:creationId xmlns:a16="http://schemas.microsoft.com/office/drawing/2014/main" id="{EC0AFE0F-C64E-42CD-8009-2FFC2C3AE784}"/>
            </a:ext>
          </a:extLst>
        </xdr:cNvPr>
        <xdr:cNvSpPr txBox="1"/>
      </xdr:nvSpPr>
      <xdr:spPr>
        <a:xfrm>
          <a:off x="5250392" y="5640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35" name="CaixaDeTexto 34">
          <a:extLst>
            <a:ext uri="{FF2B5EF4-FFF2-40B4-BE49-F238E27FC236}">
              <a16:creationId xmlns:a16="http://schemas.microsoft.com/office/drawing/2014/main" id="{A7C52758-34D2-4309-A4DA-2412EA610F11}"/>
            </a:ext>
          </a:extLst>
        </xdr:cNvPr>
        <xdr:cNvSpPr txBox="1"/>
      </xdr:nvSpPr>
      <xdr:spPr>
        <a:xfrm>
          <a:off x="5250392" y="582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36" name="CaixaDeTexto 35">
          <a:extLst>
            <a:ext uri="{FF2B5EF4-FFF2-40B4-BE49-F238E27FC236}">
              <a16:creationId xmlns:a16="http://schemas.microsoft.com/office/drawing/2014/main" id="{7D213823-5C80-416A-9BF6-DE8F020209D1}"/>
            </a:ext>
          </a:extLst>
        </xdr:cNvPr>
        <xdr:cNvSpPr txBox="1"/>
      </xdr:nvSpPr>
      <xdr:spPr>
        <a:xfrm>
          <a:off x="5250392" y="582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37" name="CaixaDeTexto 36">
          <a:extLst>
            <a:ext uri="{FF2B5EF4-FFF2-40B4-BE49-F238E27FC236}">
              <a16:creationId xmlns:a16="http://schemas.microsoft.com/office/drawing/2014/main" id="{B6B3E4B4-A8DF-4C99-878B-DC7D65F6E3B8}"/>
            </a:ext>
          </a:extLst>
        </xdr:cNvPr>
        <xdr:cNvSpPr txBox="1"/>
      </xdr:nvSpPr>
      <xdr:spPr>
        <a:xfrm>
          <a:off x="5250392" y="582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38" name="CaixaDeTexto 37">
          <a:extLst>
            <a:ext uri="{FF2B5EF4-FFF2-40B4-BE49-F238E27FC236}">
              <a16:creationId xmlns:a16="http://schemas.microsoft.com/office/drawing/2014/main" id="{3486848E-0F7A-4D64-9504-2E293F68FF93}"/>
            </a:ext>
          </a:extLst>
        </xdr:cNvPr>
        <xdr:cNvSpPr txBox="1"/>
      </xdr:nvSpPr>
      <xdr:spPr>
        <a:xfrm>
          <a:off x="5250392" y="548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39" name="CaixaDeTexto 38">
          <a:extLst>
            <a:ext uri="{FF2B5EF4-FFF2-40B4-BE49-F238E27FC236}">
              <a16:creationId xmlns:a16="http://schemas.microsoft.com/office/drawing/2014/main" id="{717CC0A5-AFF1-4C85-9BAE-9B2A6D23E9B1}"/>
            </a:ext>
          </a:extLst>
        </xdr:cNvPr>
        <xdr:cNvSpPr txBox="1"/>
      </xdr:nvSpPr>
      <xdr:spPr>
        <a:xfrm>
          <a:off x="5250392" y="548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40" name="CaixaDeTexto 39">
          <a:extLst>
            <a:ext uri="{FF2B5EF4-FFF2-40B4-BE49-F238E27FC236}">
              <a16:creationId xmlns:a16="http://schemas.microsoft.com/office/drawing/2014/main" id="{0D8EFBF4-0A91-4E21-BE4D-249C7A0D6E3B}"/>
            </a:ext>
          </a:extLst>
        </xdr:cNvPr>
        <xdr:cNvSpPr txBox="1"/>
      </xdr:nvSpPr>
      <xdr:spPr>
        <a:xfrm>
          <a:off x="5250392" y="600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41" name="CaixaDeTexto 40">
          <a:extLst>
            <a:ext uri="{FF2B5EF4-FFF2-40B4-BE49-F238E27FC236}">
              <a16:creationId xmlns:a16="http://schemas.microsoft.com/office/drawing/2014/main" id="{C5E660CB-7AC3-4C2C-BD96-0435E7F432C4}"/>
            </a:ext>
          </a:extLst>
        </xdr:cNvPr>
        <xdr:cNvSpPr txBox="1"/>
      </xdr:nvSpPr>
      <xdr:spPr>
        <a:xfrm>
          <a:off x="5250392" y="600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42" name="CaixaDeTexto 41">
          <a:extLst>
            <a:ext uri="{FF2B5EF4-FFF2-40B4-BE49-F238E27FC236}">
              <a16:creationId xmlns:a16="http://schemas.microsoft.com/office/drawing/2014/main" id="{797F7D60-40BE-4BF6-838F-ADC90EE4A409}"/>
            </a:ext>
          </a:extLst>
        </xdr:cNvPr>
        <xdr:cNvSpPr txBox="1"/>
      </xdr:nvSpPr>
      <xdr:spPr>
        <a:xfrm>
          <a:off x="5250392" y="600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43" name="CaixaDeTexto 42">
          <a:extLst>
            <a:ext uri="{FF2B5EF4-FFF2-40B4-BE49-F238E27FC236}">
              <a16:creationId xmlns:a16="http://schemas.microsoft.com/office/drawing/2014/main" id="{CEECC380-16E9-40CE-B195-8948C3038D6F}"/>
            </a:ext>
          </a:extLst>
        </xdr:cNvPr>
        <xdr:cNvSpPr txBox="1"/>
      </xdr:nvSpPr>
      <xdr:spPr>
        <a:xfrm>
          <a:off x="5250392" y="600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4" name="CaixaDeTexto 3">
          <a:extLst>
            <a:ext uri="{FF2B5EF4-FFF2-40B4-BE49-F238E27FC236}">
              <a16:creationId xmlns:a16="http://schemas.microsoft.com/office/drawing/2014/main" id="{EF2DD018-B4C6-404C-9D0B-71D8B182F418}"/>
            </a:ext>
          </a:extLst>
        </xdr:cNvPr>
        <xdr:cNvSpPr txBox="1"/>
      </xdr:nvSpPr>
      <xdr:spPr>
        <a:xfrm>
          <a:off x="5250392" y="856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8" name="CaixaDeTexto 7">
          <a:extLst>
            <a:ext uri="{FF2B5EF4-FFF2-40B4-BE49-F238E27FC236}">
              <a16:creationId xmlns:a16="http://schemas.microsoft.com/office/drawing/2014/main" id="{D50BB837-405E-4C4F-BEA9-06E9B3968907}"/>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26" name="CaixaDeTexto 25">
          <a:extLst>
            <a:ext uri="{FF2B5EF4-FFF2-40B4-BE49-F238E27FC236}">
              <a16:creationId xmlns:a16="http://schemas.microsoft.com/office/drawing/2014/main" id="{DDC50BF8-102E-428C-9DFB-CE241ED3F6D8}"/>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29" name="CaixaDeTexto 28">
          <a:extLst>
            <a:ext uri="{FF2B5EF4-FFF2-40B4-BE49-F238E27FC236}">
              <a16:creationId xmlns:a16="http://schemas.microsoft.com/office/drawing/2014/main" id="{586DC475-302A-49A5-B7E0-C33B522C6A98}"/>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0" name="CaixaDeTexto 29">
          <a:extLst>
            <a:ext uri="{FF2B5EF4-FFF2-40B4-BE49-F238E27FC236}">
              <a16:creationId xmlns:a16="http://schemas.microsoft.com/office/drawing/2014/main" id="{FF8BDEE2-A5D7-48C7-9997-0298221AD628}"/>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4" name="CaixaDeTexto 33">
          <a:extLst>
            <a:ext uri="{FF2B5EF4-FFF2-40B4-BE49-F238E27FC236}">
              <a16:creationId xmlns:a16="http://schemas.microsoft.com/office/drawing/2014/main" id="{8EE57BF3-B91B-48FB-8E09-7606A211B9CE}"/>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44" name="CaixaDeTexto 43">
          <a:extLst>
            <a:ext uri="{FF2B5EF4-FFF2-40B4-BE49-F238E27FC236}">
              <a16:creationId xmlns:a16="http://schemas.microsoft.com/office/drawing/2014/main" id="{8A18495C-EC85-41D2-A36C-9BC917FABFBC}"/>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45" name="CaixaDeTexto 44">
          <a:extLst>
            <a:ext uri="{FF2B5EF4-FFF2-40B4-BE49-F238E27FC236}">
              <a16:creationId xmlns:a16="http://schemas.microsoft.com/office/drawing/2014/main" id="{18300BDE-A802-41B9-9E6E-1796CFE2B48D}"/>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46" name="CaixaDeTexto 45">
          <a:extLst>
            <a:ext uri="{FF2B5EF4-FFF2-40B4-BE49-F238E27FC236}">
              <a16:creationId xmlns:a16="http://schemas.microsoft.com/office/drawing/2014/main" id="{DADB6767-0F82-4B0A-912A-797DCD375FB9}"/>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47" name="CaixaDeTexto 46">
          <a:extLst>
            <a:ext uri="{FF2B5EF4-FFF2-40B4-BE49-F238E27FC236}">
              <a16:creationId xmlns:a16="http://schemas.microsoft.com/office/drawing/2014/main" id="{D795942C-D603-439A-B07C-8A674B6E918F}"/>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48" name="CaixaDeTexto 47">
          <a:extLst>
            <a:ext uri="{FF2B5EF4-FFF2-40B4-BE49-F238E27FC236}">
              <a16:creationId xmlns:a16="http://schemas.microsoft.com/office/drawing/2014/main" id="{ED66ED75-5DCC-494C-9034-A7FF9EAAEC06}"/>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49" name="CaixaDeTexto 48">
          <a:extLst>
            <a:ext uri="{FF2B5EF4-FFF2-40B4-BE49-F238E27FC236}">
              <a16:creationId xmlns:a16="http://schemas.microsoft.com/office/drawing/2014/main" id="{74838F76-A727-4BEF-AB0D-F2621C762854}"/>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50" name="CaixaDeTexto 49">
          <a:extLst>
            <a:ext uri="{FF2B5EF4-FFF2-40B4-BE49-F238E27FC236}">
              <a16:creationId xmlns:a16="http://schemas.microsoft.com/office/drawing/2014/main" id="{15AAC2A6-3D4C-4B2C-9DA7-E0EBF9AAC7A8}"/>
            </a:ext>
          </a:extLst>
        </xdr:cNvPr>
        <xdr:cNvSpPr txBox="1"/>
      </xdr:nvSpPr>
      <xdr:spPr>
        <a:xfrm>
          <a:off x="5250392" y="888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445</xdr:row>
      <xdr:rowOff>0</xdr:rowOff>
    </xdr:from>
    <xdr:ext cx="184731" cy="264560"/>
    <xdr:sp macro="" textlink="">
      <xdr:nvSpPr>
        <xdr:cNvPr id="51" name="CaixaDeTexto 50">
          <a:extLst>
            <a:ext uri="{FF2B5EF4-FFF2-40B4-BE49-F238E27FC236}">
              <a16:creationId xmlns:a16="http://schemas.microsoft.com/office/drawing/2014/main" id="{473B0877-EEEE-4F18-9DB7-A56438EF0B23}"/>
            </a:ext>
          </a:extLst>
        </xdr:cNvPr>
        <xdr:cNvSpPr txBox="1"/>
      </xdr:nvSpPr>
      <xdr:spPr>
        <a:xfrm>
          <a:off x="5250392" y="8901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2" name="CaixaDeTexto 51">
          <a:extLst>
            <a:ext uri="{FF2B5EF4-FFF2-40B4-BE49-F238E27FC236}">
              <a16:creationId xmlns:a16="http://schemas.microsoft.com/office/drawing/2014/main" id="{C7306A29-64BB-4547-A924-4E08A8E5AA4A}"/>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445</xdr:row>
      <xdr:rowOff>0</xdr:rowOff>
    </xdr:from>
    <xdr:ext cx="184731" cy="264560"/>
    <xdr:sp macro="" textlink="">
      <xdr:nvSpPr>
        <xdr:cNvPr id="53" name="CaixaDeTexto 52">
          <a:extLst>
            <a:ext uri="{FF2B5EF4-FFF2-40B4-BE49-F238E27FC236}">
              <a16:creationId xmlns:a16="http://schemas.microsoft.com/office/drawing/2014/main" id="{265351B1-429F-4A01-BB44-B85C65F31F20}"/>
            </a:ext>
          </a:extLst>
        </xdr:cNvPr>
        <xdr:cNvSpPr txBox="1"/>
      </xdr:nvSpPr>
      <xdr:spPr>
        <a:xfrm>
          <a:off x="5250392" y="8901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4" name="CaixaDeTexto 53">
          <a:extLst>
            <a:ext uri="{FF2B5EF4-FFF2-40B4-BE49-F238E27FC236}">
              <a16:creationId xmlns:a16="http://schemas.microsoft.com/office/drawing/2014/main" id="{CD24EDDD-67E8-46F5-B6EC-DC83160D193E}"/>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5" name="CaixaDeTexto 54">
          <a:extLst>
            <a:ext uri="{FF2B5EF4-FFF2-40B4-BE49-F238E27FC236}">
              <a16:creationId xmlns:a16="http://schemas.microsoft.com/office/drawing/2014/main" id="{93DFF6AD-44FC-42AC-86FC-1F9F7E4FD5CC}"/>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6" name="CaixaDeTexto 55">
          <a:extLst>
            <a:ext uri="{FF2B5EF4-FFF2-40B4-BE49-F238E27FC236}">
              <a16:creationId xmlns:a16="http://schemas.microsoft.com/office/drawing/2014/main" id="{C31EE387-28CF-479C-88CF-425D046CF09D}"/>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7" name="CaixaDeTexto 56">
          <a:extLst>
            <a:ext uri="{FF2B5EF4-FFF2-40B4-BE49-F238E27FC236}">
              <a16:creationId xmlns:a16="http://schemas.microsoft.com/office/drawing/2014/main" id="{74E04F62-4A89-43A7-94F9-9114CDB15752}"/>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8" name="CaixaDeTexto 57">
          <a:extLst>
            <a:ext uri="{FF2B5EF4-FFF2-40B4-BE49-F238E27FC236}">
              <a16:creationId xmlns:a16="http://schemas.microsoft.com/office/drawing/2014/main" id="{820B704B-515F-46E4-A2EC-F284E9B96EE0}"/>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59" name="CaixaDeTexto 58">
          <a:extLst>
            <a:ext uri="{FF2B5EF4-FFF2-40B4-BE49-F238E27FC236}">
              <a16:creationId xmlns:a16="http://schemas.microsoft.com/office/drawing/2014/main" id="{65A7AF80-C4A2-4528-B205-02E63E543925}"/>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448</xdr:row>
      <xdr:rowOff>0</xdr:rowOff>
    </xdr:from>
    <xdr:ext cx="184731" cy="264560"/>
    <xdr:sp macro="" textlink="">
      <xdr:nvSpPr>
        <xdr:cNvPr id="60" name="CaixaDeTexto 59">
          <a:extLst>
            <a:ext uri="{FF2B5EF4-FFF2-40B4-BE49-F238E27FC236}">
              <a16:creationId xmlns:a16="http://schemas.microsoft.com/office/drawing/2014/main" id="{6714B472-34D4-4297-835F-B339E22ACAD2}"/>
            </a:ext>
          </a:extLst>
        </xdr:cNvPr>
        <xdr:cNvSpPr txBox="1"/>
      </xdr:nvSpPr>
      <xdr:spPr>
        <a:xfrm>
          <a:off x="5250392" y="896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61" name="CaixaDeTexto 60">
          <a:extLst>
            <a:ext uri="{FF2B5EF4-FFF2-40B4-BE49-F238E27FC236}">
              <a16:creationId xmlns:a16="http://schemas.microsoft.com/office/drawing/2014/main" id="{DBABACD6-EA28-41C4-A93A-E58B1B451954}"/>
            </a:ext>
          </a:extLst>
        </xdr:cNvPr>
        <xdr:cNvSpPr txBox="1"/>
      </xdr:nvSpPr>
      <xdr:spPr>
        <a:xfrm>
          <a:off x="5250392" y="892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447</xdr:row>
      <xdr:rowOff>0</xdr:rowOff>
    </xdr:from>
    <xdr:ext cx="184731" cy="264560"/>
    <xdr:sp macro="" textlink="">
      <xdr:nvSpPr>
        <xdr:cNvPr id="62" name="CaixaDeTexto 61">
          <a:extLst>
            <a:ext uri="{FF2B5EF4-FFF2-40B4-BE49-F238E27FC236}">
              <a16:creationId xmlns:a16="http://schemas.microsoft.com/office/drawing/2014/main" id="{5227BBB8-B86E-4D8F-9F00-3A78D04E2C93}"/>
            </a:ext>
          </a:extLst>
        </xdr:cNvPr>
        <xdr:cNvSpPr txBox="1"/>
      </xdr:nvSpPr>
      <xdr:spPr>
        <a:xfrm>
          <a:off x="5250392" y="8941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3" name="CaixaDeTexto 62">
          <a:extLst>
            <a:ext uri="{FF2B5EF4-FFF2-40B4-BE49-F238E27FC236}">
              <a16:creationId xmlns:a16="http://schemas.microsoft.com/office/drawing/2014/main" id="{E2E2C4E8-73E0-4408-A1B4-18D423687474}"/>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4" name="CaixaDeTexto 63">
          <a:extLst>
            <a:ext uri="{FF2B5EF4-FFF2-40B4-BE49-F238E27FC236}">
              <a16:creationId xmlns:a16="http://schemas.microsoft.com/office/drawing/2014/main" id="{B4C242DD-51FE-4A1B-BB50-721A785A7547}"/>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5" name="CaixaDeTexto 64">
          <a:extLst>
            <a:ext uri="{FF2B5EF4-FFF2-40B4-BE49-F238E27FC236}">
              <a16:creationId xmlns:a16="http://schemas.microsoft.com/office/drawing/2014/main" id="{D15B1573-F48C-412A-9275-7E554008717C}"/>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6" name="CaixaDeTexto 65">
          <a:extLst>
            <a:ext uri="{FF2B5EF4-FFF2-40B4-BE49-F238E27FC236}">
              <a16:creationId xmlns:a16="http://schemas.microsoft.com/office/drawing/2014/main" id="{05DA6766-562D-43E1-92AE-E50B12E6CE87}"/>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7" name="CaixaDeTexto 66">
          <a:extLst>
            <a:ext uri="{FF2B5EF4-FFF2-40B4-BE49-F238E27FC236}">
              <a16:creationId xmlns:a16="http://schemas.microsoft.com/office/drawing/2014/main" id="{EAE5890F-B5A6-490C-927A-F84E1B6C2E2C}"/>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8" name="CaixaDeTexto 67">
          <a:extLst>
            <a:ext uri="{FF2B5EF4-FFF2-40B4-BE49-F238E27FC236}">
              <a16:creationId xmlns:a16="http://schemas.microsoft.com/office/drawing/2014/main" id="{570DE995-3F4D-4E9F-989F-70FC51449FB8}"/>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69" name="CaixaDeTexto 68">
          <a:extLst>
            <a:ext uri="{FF2B5EF4-FFF2-40B4-BE49-F238E27FC236}">
              <a16:creationId xmlns:a16="http://schemas.microsoft.com/office/drawing/2014/main" id="{89503533-08D8-4552-8804-DA86FA2173F5}"/>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0" name="CaixaDeTexto 69">
          <a:extLst>
            <a:ext uri="{FF2B5EF4-FFF2-40B4-BE49-F238E27FC236}">
              <a16:creationId xmlns:a16="http://schemas.microsoft.com/office/drawing/2014/main" id="{C9D5A093-505E-4B85-85CF-75312413612D}"/>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1" name="CaixaDeTexto 70">
          <a:extLst>
            <a:ext uri="{FF2B5EF4-FFF2-40B4-BE49-F238E27FC236}">
              <a16:creationId xmlns:a16="http://schemas.microsoft.com/office/drawing/2014/main" id="{9A26008F-41C2-47E0-A69E-55EE3F7E8FFD}"/>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2" name="CaixaDeTexto 71">
          <a:extLst>
            <a:ext uri="{FF2B5EF4-FFF2-40B4-BE49-F238E27FC236}">
              <a16:creationId xmlns:a16="http://schemas.microsoft.com/office/drawing/2014/main" id="{18764913-04A2-45BC-90C3-B18FBEF14F67}"/>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3" name="CaixaDeTexto 72">
          <a:extLst>
            <a:ext uri="{FF2B5EF4-FFF2-40B4-BE49-F238E27FC236}">
              <a16:creationId xmlns:a16="http://schemas.microsoft.com/office/drawing/2014/main" id="{2A786217-1708-49C8-9515-8C12B8B1898A}"/>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4" name="CaixaDeTexto 73">
          <a:extLst>
            <a:ext uri="{FF2B5EF4-FFF2-40B4-BE49-F238E27FC236}">
              <a16:creationId xmlns:a16="http://schemas.microsoft.com/office/drawing/2014/main" id="{696E5CA9-CF35-47A0-9C3B-A6719B2FAA2B}"/>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5" name="CaixaDeTexto 74">
          <a:extLst>
            <a:ext uri="{FF2B5EF4-FFF2-40B4-BE49-F238E27FC236}">
              <a16:creationId xmlns:a16="http://schemas.microsoft.com/office/drawing/2014/main" id="{E4AB1482-2558-4E23-B1D7-3486FC366725}"/>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 name="CaixaDeTexto 75">
          <a:extLst>
            <a:ext uri="{FF2B5EF4-FFF2-40B4-BE49-F238E27FC236}">
              <a16:creationId xmlns:a16="http://schemas.microsoft.com/office/drawing/2014/main" id="{28E25B74-05FB-4F0E-B216-DCB49ABB72ED}"/>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 name="CaixaDeTexto 76">
          <a:extLst>
            <a:ext uri="{FF2B5EF4-FFF2-40B4-BE49-F238E27FC236}">
              <a16:creationId xmlns:a16="http://schemas.microsoft.com/office/drawing/2014/main" id="{D0A0D017-AABA-44C2-8DF2-021925EC2657}"/>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8" name="CaixaDeTexto 77">
          <a:extLst>
            <a:ext uri="{FF2B5EF4-FFF2-40B4-BE49-F238E27FC236}">
              <a16:creationId xmlns:a16="http://schemas.microsoft.com/office/drawing/2014/main" id="{9BC0FB68-06AC-4E51-837D-A95F878DF2EB}"/>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9" name="CaixaDeTexto 78">
          <a:extLst>
            <a:ext uri="{FF2B5EF4-FFF2-40B4-BE49-F238E27FC236}">
              <a16:creationId xmlns:a16="http://schemas.microsoft.com/office/drawing/2014/main" id="{E2A0EF3A-B72F-45D1-BDDE-5C1D109FE8E0}"/>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0" name="CaixaDeTexto 79">
          <a:extLst>
            <a:ext uri="{FF2B5EF4-FFF2-40B4-BE49-F238E27FC236}">
              <a16:creationId xmlns:a16="http://schemas.microsoft.com/office/drawing/2014/main" id="{19249A96-1EB9-4C03-A999-FB06606F7D6A}"/>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1" name="CaixaDeTexto 80">
          <a:extLst>
            <a:ext uri="{FF2B5EF4-FFF2-40B4-BE49-F238E27FC236}">
              <a16:creationId xmlns:a16="http://schemas.microsoft.com/office/drawing/2014/main" id="{5C4BF2CF-BFD7-4A17-AEBD-2C9F73C3B34C}"/>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2" name="CaixaDeTexto 81">
          <a:extLst>
            <a:ext uri="{FF2B5EF4-FFF2-40B4-BE49-F238E27FC236}">
              <a16:creationId xmlns:a16="http://schemas.microsoft.com/office/drawing/2014/main" id="{3032D259-B327-4DA6-9961-1E2D0A407E3B}"/>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3" name="CaixaDeTexto 82">
          <a:extLst>
            <a:ext uri="{FF2B5EF4-FFF2-40B4-BE49-F238E27FC236}">
              <a16:creationId xmlns:a16="http://schemas.microsoft.com/office/drawing/2014/main" id="{A56FF211-A31D-4C19-937A-9C42CA5B5B10}"/>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4" name="CaixaDeTexto 83">
          <a:extLst>
            <a:ext uri="{FF2B5EF4-FFF2-40B4-BE49-F238E27FC236}">
              <a16:creationId xmlns:a16="http://schemas.microsoft.com/office/drawing/2014/main" id="{8E36E1F7-381B-4224-B281-EE6B980520AE}"/>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5" name="CaixaDeTexto 84">
          <a:extLst>
            <a:ext uri="{FF2B5EF4-FFF2-40B4-BE49-F238E27FC236}">
              <a16:creationId xmlns:a16="http://schemas.microsoft.com/office/drawing/2014/main" id="{15A630A2-4B5A-485E-AE7D-7D4151EA164F}"/>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86" name="CaixaDeTexto 85">
          <a:extLst>
            <a:ext uri="{FF2B5EF4-FFF2-40B4-BE49-F238E27FC236}">
              <a16:creationId xmlns:a16="http://schemas.microsoft.com/office/drawing/2014/main" id="{412237F2-772B-4FA4-A365-6A433F6165F7}"/>
            </a:ext>
          </a:extLst>
        </xdr:cNvPr>
        <xdr:cNvSpPr txBox="1"/>
      </xdr:nvSpPr>
      <xdr:spPr>
        <a:xfrm>
          <a:off x="5250392" y="872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87" name="CaixaDeTexto 86">
          <a:extLst>
            <a:ext uri="{FF2B5EF4-FFF2-40B4-BE49-F238E27FC236}">
              <a16:creationId xmlns:a16="http://schemas.microsoft.com/office/drawing/2014/main" id="{C6C0C34A-7EF4-4C5B-9574-23FC0AFCA3E6}"/>
            </a:ext>
          </a:extLst>
        </xdr:cNvPr>
        <xdr:cNvSpPr txBox="1"/>
      </xdr:nvSpPr>
      <xdr:spPr>
        <a:xfrm>
          <a:off x="5250392" y="8741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88" name="CaixaDeTexto 87">
          <a:extLst>
            <a:ext uri="{FF2B5EF4-FFF2-40B4-BE49-F238E27FC236}">
              <a16:creationId xmlns:a16="http://schemas.microsoft.com/office/drawing/2014/main" id="{563ECF3E-90D7-45E4-B3B7-9A5B009C46A7}"/>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89" name="CaixaDeTexto 88">
          <a:extLst>
            <a:ext uri="{FF2B5EF4-FFF2-40B4-BE49-F238E27FC236}">
              <a16:creationId xmlns:a16="http://schemas.microsoft.com/office/drawing/2014/main" id="{A5035030-1509-4BC7-BE31-2820CE29EC1B}"/>
            </a:ext>
          </a:extLst>
        </xdr:cNvPr>
        <xdr:cNvSpPr txBox="1"/>
      </xdr:nvSpPr>
      <xdr:spPr>
        <a:xfrm>
          <a:off x="5250392" y="8741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90" name="CaixaDeTexto 89">
          <a:extLst>
            <a:ext uri="{FF2B5EF4-FFF2-40B4-BE49-F238E27FC236}">
              <a16:creationId xmlns:a16="http://schemas.microsoft.com/office/drawing/2014/main" id="{AB43687D-BC76-46BB-8459-5A4D24A7276B}"/>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91" name="CaixaDeTexto 90">
          <a:extLst>
            <a:ext uri="{FF2B5EF4-FFF2-40B4-BE49-F238E27FC236}">
              <a16:creationId xmlns:a16="http://schemas.microsoft.com/office/drawing/2014/main" id="{05389596-9092-4E0C-89EA-9113EA37AB54}"/>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92" name="CaixaDeTexto 91">
          <a:extLst>
            <a:ext uri="{FF2B5EF4-FFF2-40B4-BE49-F238E27FC236}">
              <a16:creationId xmlns:a16="http://schemas.microsoft.com/office/drawing/2014/main" id="{2F93F7D7-C865-41A9-B86F-FBAD1EE96D82}"/>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93" name="CaixaDeTexto 92">
          <a:extLst>
            <a:ext uri="{FF2B5EF4-FFF2-40B4-BE49-F238E27FC236}">
              <a16:creationId xmlns:a16="http://schemas.microsoft.com/office/drawing/2014/main" id="{76492EBB-10CB-4E02-ADDB-7DAA05729DBF}"/>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94" name="CaixaDeTexto 93">
          <a:extLst>
            <a:ext uri="{FF2B5EF4-FFF2-40B4-BE49-F238E27FC236}">
              <a16:creationId xmlns:a16="http://schemas.microsoft.com/office/drawing/2014/main" id="{E2D764C7-242D-4A3F-86CE-D53B895E52BB}"/>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95" name="CaixaDeTexto 94">
          <a:extLst>
            <a:ext uri="{FF2B5EF4-FFF2-40B4-BE49-F238E27FC236}">
              <a16:creationId xmlns:a16="http://schemas.microsoft.com/office/drawing/2014/main" id="{C0E0B1AC-D6C6-42A1-8E5E-5F5900867CC7}"/>
            </a:ext>
          </a:extLst>
        </xdr:cNvPr>
        <xdr:cNvSpPr txBox="1"/>
      </xdr:nvSpPr>
      <xdr:spPr>
        <a:xfrm>
          <a:off x="5250392" y="876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439</xdr:row>
      <xdr:rowOff>0</xdr:rowOff>
    </xdr:from>
    <xdr:ext cx="184731" cy="264560"/>
    <xdr:sp macro="" textlink="">
      <xdr:nvSpPr>
        <xdr:cNvPr id="96" name="CaixaDeTexto 95">
          <a:extLst>
            <a:ext uri="{FF2B5EF4-FFF2-40B4-BE49-F238E27FC236}">
              <a16:creationId xmlns:a16="http://schemas.microsoft.com/office/drawing/2014/main" id="{62119B90-FE8B-4787-8A60-F568A36F6C5B}"/>
            </a:ext>
          </a:extLst>
        </xdr:cNvPr>
        <xdr:cNvSpPr txBox="1"/>
      </xdr:nvSpPr>
      <xdr:spPr>
        <a:xfrm>
          <a:off x="5250392" y="8781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97" name="CaixaDeTexto 96">
          <a:extLst>
            <a:ext uri="{FF2B5EF4-FFF2-40B4-BE49-F238E27FC236}">
              <a16:creationId xmlns:a16="http://schemas.microsoft.com/office/drawing/2014/main" id="{BBCD9968-10DB-48CD-9612-3596854CEC95}"/>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98" name="CaixaDeTexto 97">
          <a:extLst>
            <a:ext uri="{FF2B5EF4-FFF2-40B4-BE49-F238E27FC236}">
              <a16:creationId xmlns:a16="http://schemas.microsoft.com/office/drawing/2014/main" id="{234FB4B3-78C6-4970-BB82-62713EC44251}"/>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99" name="CaixaDeTexto 98">
          <a:extLst>
            <a:ext uri="{FF2B5EF4-FFF2-40B4-BE49-F238E27FC236}">
              <a16:creationId xmlns:a16="http://schemas.microsoft.com/office/drawing/2014/main" id="{C3A619B3-0DBF-4C4E-8C75-376FC7D54B82}"/>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0" name="CaixaDeTexto 99">
          <a:extLst>
            <a:ext uri="{FF2B5EF4-FFF2-40B4-BE49-F238E27FC236}">
              <a16:creationId xmlns:a16="http://schemas.microsoft.com/office/drawing/2014/main" id="{A12A9BC1-F013-470A-BE18-957EBDAA9714}"/>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1" name="CaixaDeTexto 100">
          <a:extLst>
            <a:ext uri="{FF2B5EF4-FFF2-40B4-BE49-F238E27FC236}">
              <a16:creationId xmlns:a16="http://schemas.microsoft.com/office/drawing/2014/main" id="{A0298C8F-DC9C-4ED7-8019-00B80906FFAD}"/>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2" name="CaixaDeTexto 101">
          <a:extLst>
            <a:ext uri="{FF2B5EF4-FFF2-40B4-BE49-F238E27FC236}">
              <a16:creationId xmlns:a16="http://schemas.microsoft.com/office/drawing/2014/main" id="{97C069B5-86AB-47EF-BB85-1AEE8BBCC611}"/>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3" name="CaixaDeTexto 102">
          <a:extLst>
            <a:ext uri="{FF2B5EF4-FFF2-40B4-BE49-F238E27FC236}">
              <a16:creationId xmlns:a16="http://schemas.microsoft.com/office/drawing/2014/main" id="{426F03C8-ECCB-430E-AEB6-2E4F07313536}"/>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4" name="CaixaDeTexto 103">
          <a:extLst>
            <a:ext uri="{FF2B5EF4-FFF2-40B4-BE49-F238E27FC236}">
              <a16:creationId xmlns:a16="http://schemas.microsoft.com/office/drawing/2014/main" id="{50712B15-6935-46A9-9810-87A14E29A7B6}"/>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5" name="CaixaDeTexto 104">
          <a:extLst>
            <a:ext uri="{FF2B5EF4-FFF2-40B4-BE49-F238E27FC236}">
              <a16:creationId xmlns:a16="http://schemas.microsoft.com/office/drawing/2014/main" id="{3A307BB7-ED1C-492F-B1B3-09FEBB9232BB}"/>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6" name="CaixaDeTexto 105">
          <a:extLst>
            <a:ext uri="{FF2B5EF4-FFF2-40B4-BE49-F238E27FC236}">
              <a16:creationId xmlns:a16="http://schemas.microsoft.com/office/drawing/2014/main" id="{E76AF955-D0FE-4F7B-BA5F-F9E5EA5D670F}"/>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7" name="CaixaDeTexto 106">
          <a:extLst>
            <a:ext uri="{FF2B5EF4-FFF2-40B4-BE49-F238E27FC236}">
              <a16:creationId xmlns:a16="http://schemas.microsoft.com/office/drawing/2014/main" id="{BAE79E16-FF91-43C3-9932-18B040583D40}"/>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108" name="CaixaDeTexto 107">
          <a:extLst>
            <a:ext uri="{FF2B5EF4-FFF2-40B4-BE49-F238E27FC236}">
              <a16:creationId xmlns:a16="http://schemas.microsoft.com/office/drawing/2014/main" id="{B15BE3E3-924C-41FA-8E50-6AF76D9DC3C2}"/>
            </a:ext>
          </a:extLst>
        </xdr:cNvPr>
        <xdr:cNvSpPr txBox="1"/>
      </xdr:nvSpPr>
      <xdr:spPr>
        <a:xfrm>
          <a:off x="5250392" y="8903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453</xdr:row>
      <xdr:rowOff>0</xdr:rowOff>
    </xdr:from>
    <xdr:ext cx="184731" cy="264560"/>
    <xdr:sp macro="" textlink="">
      <xdr:nvSpPr>
        <xdr:cNvPr id="109" name="CaixaDeTexto 108">
          <a:extLst>
            <a:ext uri="{FF2B5EF4-FFF2-40B4-BE49-F238E27FC236}">
              <a16:creationId xmlns:a16="http://schemas.microsoft.com/office/drawing/2014/main" id="{0E8D3AF9-F61A-45CE-961F-6AF99373B3DF}"/>
            </a:ext>
          </a:extLst>
        </xdr:cNvPr>
        <xdr:cNvSpPr txBox="1"/>
      </xdr:nvSpPr>
      <xdr:spPr>
        <a:xfrm>
          <a:off x="5250392" y="8923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0" name="CaixaDeTexto 109">
          <a:extLst>
            <a:ext uri="{FF2B5EF4-FFF2-40B4-BE49-F238E27FC236}">
              <a16:creationId xmlns:a16="http://schemas.microsoft.com/office/drawing/2014/main" id="{E4E3E351-B5A5-4971-A76F-D65220DFB78E}"/>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453</xdr:row>
      <xdr:rowOff>0</xdr:rowOff>
    </xdr:from>
    <xdr:ext cx="184731" cy="264560"/>
    <xdr:sp macro="" textlink="">
      <xdr:nvSpPr>
        <xdr:cNvPr id="111" name="CaixaDeTexto 110">
          <a:extLst>
            <a:ext uri="{FF2B5EF4-FFF2-40B4-BE49-F238E27FC236}">
              <a16:creationId xmlns:a16="http://schemas.microsoft.com/office/drawing/2014/main" id="{B556F5F6-580B-4FEF-9C20-39E96DCD06D6}"/>
            </a:ext>
          </a:extLst>
        </xdr:cNvPr>
        <xdr:cNvSpPr txBox="1"/>
      </xdr:nvSpPr>
      <xdr:spPr>
        <a:xfrm>
          <a:off x="5250392" y="8923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2" name="CaixaDeTexto 111">
          <a:extLst>
            <a:ext uri="{FF2B5EF4-FFF2-40B4-BE49-F238E27FC236}">
              <a16:creationId xmlns:a16="http://schemas.microsoft.com/office/drawing/2014/main" id="{1ABD3279-CB1F-4F21-BD33-CC79301D2FD5}"/>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3" name="CaixaDeTexto 112">
          <a:extLst>
            <a:ext uri="{FF2B5EF4-FFF2-40B4-BE49-F238E27FC236}">
              <a16:creationId xmlns:a16="http://schemas.microsoft.com/office/drawing/2014/main" id="{B9AFB80F-7F45-4EF5-BB1C-950764D94D67}"/>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4" name="CaixaDeTexto 113">
          <a:extLst>
            <a:ext uri="{FF2B5EF4-FFF2-40B4-BE49-F238E27FC236}">
              <a16:creationId xmlns:a16="http://schemas.microsoft.com/office/drawing/2014/main" id="{6DFB6E2E-54ED-451E-9441-324AA37BCB78}"/>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5" name="CaixaDeTexto 114">
          <a:extLst>
            <a:ext uri="{FF2B5EF4-FFF2-40B4-BE49-F238E27FC236}">
              <a16:creationId xmlns:a16="http://schemas.microsoft.com/office/drawing/2014/main" id="{2F4B44DE-BAE9-485E-8E29-FB7A7FB2D9CA}"/>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6" name="CaixaDeTexto 115">
          <a:extLst>
            <a:ext uri="{FF2B5EF4-FFF2-40B4-BE49-F238E27FC236}">
              <a16:creationId xmlns:a16="http://schemas.microsoft.com/office/drawing/2014/main" id="{6C77E358-5D02-42F8-9A8F-F15BFD281438}"/>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7" name="CaixaDeTexto 116">
          <a:extLst>
            <a:ext uri="{FF2B5EF4-FFF2-40B4-BE49-F238E27FC236}">
              <a16:creationId xmlns:a16="http://schemas.microsoft.com/office/drawing/2014/main" id="{FE650E40-AA28-437C-96DE-85C3B7252137}"/>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456</xdr:row>
      <xdr:rowOff>0</xdr:rowOff>
    </xdr:from>
    <xdr:ext cx="184731" cy="264560"/>
    <xdr:sp macro="" textlink="">
      <xdr:nvSpPr>
        <xdr:cNvPr id="118" name="CaixaDeTexto 117">
          <a:extLst>
            <a:ext uri="{FF2B5EF4-FFF2-40B4-BE49-F238E27FC236}">
              <a16:creationId xmlns:a16="http://schemas.microsoft.com/office/drawing/2014/main" id="{236FC801-B376-406F-B1A0-99788DE710EF}"/>
            </a:ext>
          </a:extLst>
        </xdr:cNvPr>
        <xdr:cNvSpPr txBox="1"/>
      </xdr:nvSpPr>
      <xdr:spPr>
        <a:xfrm>
          <a:off x="5250392" y="8984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119" name="CaixaDeTexto 118">
          <a:extLst>
            <a:ext uri="{FF2B5EF4-FFF2-40B4-BE49-F238E27FC236}">
              <a16:creationId xmlns:a16="http://schemas.microsoft.com/office/drawing/2014/main" id="{9C2F1B46-56BE-45C4-8582-DD7AED6D0851}"/>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455</xdr:row>
      <xdr:rowOff>0</xdr:rowOff>
    </xdr:from>
    <xdr:ext cx="184731" cy="264560"/>
    <xdr:sp macro="" textlink="">
      <xdr:nvSpPr>
        <xdr:cNvPr id="120" name="CaixaDeTexto 119">
          <a:extLst>
            <a:ext uri="{FF2B5EF4-FFF2-40B4-BE49-F238E27FC236}">
              <a16:creationId xmlns:a16="http://schemas.microsoft.com/office/drawing/2014/main" id="{28CDF095-2434-4512-881E-4E32E985D3E0}"/>
            </a:ext>
          </a:extLst>
        </xdr:cNvPr>
        <xdr:cNvSpPr txBox="1"/>
      </xdr:nvSpPr>
      <xdr:spPr>
        <a:xfrm>
          <a:off x="5250392" y="896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45" name="CaixaDeTexto 144">
          <a:extLst>
            <a:ext uri="{FF2B5EF4-FFF2-40B4-BE49-F238E27FC236}">
              <a16:creationId xmlns:a16="http://schemas.microsoft.com/office/drawing/2014/main" id="{40A27CD2-DB01-4712-BF28-5CF4F1AD3D94}"/>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46" name="CaixaDeTexto 145">
          <a:extLst>
            <a:ext uri="{FF2B5EF4-FFF2-40B4-BE49-F238E27FC236}">
              <a16:creationId xmlns:a16="http://schemas.microsoft.com/office/drawing/2014/main" id="{DC078DF8-F504-429D-9DB6-EB1102D59A8B}"/>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47" name="CaixaDeTexto 146">
          <a:extLst>
            <a:ext uri="{FF2B5EF4-FFF2-40B4-BE49-F238E27FC236}">
              <a16:creationId xmlns:a16="http://schemas.microsoft.com/office/drawing/2014/main" id="{559B8075-E6FF-4C3B-8332-5D30192F5906}"/>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48" name="CaixaDeTexto 147">
          <a:extLst>
            <a:ext uri="{FF2B5EF4-FFF2-40B4-BE49-F238E27FC236}">
              <a16:creationId xmlns:a16="http://schemas.microsoft.com/office/drawing/2014/main" id="{B16943C4-448B-4F70-97CD-A4CFFC47A042}"/>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49" name="CaixaDeTexto 148">
          <a:extLst>
            <a:ext uri="{FF2B5EF4-FFF2-40B4-BE49-F238E27FC236}">
              <a16:creationId xmlns:a16="http://schemas.microsoft.com/office/drawing/2014/main" id="{177D8F45-0F1C-46A8-A07A-9BD46D18AC07}"/>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0" name="CaixaDeTexto 149">
          <a:extLst>
            <a:ext uri="{FF2B5EF4-FFF2-40B4-BE49-F238E27FC236}">
              <a16:creationId xmlns:a16="http://schemas.microsoft.com/office/drawing/2014/main" id="{93B61D00-1DED-4BBF-A92B-7C425204150B}"/>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1" name="CaixaDeTexto 150">
          <a:extLst>
            <a:ext uri="{FF2B5EF4-FFF2-40B4-BE49-F238E27FC236}">
              <a16:creationId xmlns:a16="http://schemas.microsoft.com/office/drawing/2014/main" id="{CF47AECF-B713-407D-95E9-94D37F7986A4}"/>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2" name="CaixaDeTexto 151">
          <a:extLst>
            <a:ext uri="{FF2B5EF4-FFF2-40B4-BE49-F238E27FC236}">
              <a16:creationId xmlns:a16="http://schemas.microsoft.com/office/drawing/2014/main" id="{9BC8A6D2-7840-4E5B-A0F1-BADDA793A7C7}"/>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3" name="CaixaDeTexto 152">
          <a:extLst>
            <a:ext uri="{FF2B5EF4-FFF2-40B4-BE49-F238E27FC236}">
              <a16:creationId xmlns:a16="http://schemas.microsoft.com/office/drawing/2014/main" id="{C7AC3606-5A0B-412C-B943-F6619FDD415E}"/>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4" name="CaixaDeTexto 153">
          <a:extLst>
            <a:ext uri="{FF2B5EF4-FFF2-40B4-BE49-F238E27FC236}">
              <a16:creationId xmlns:a16="http://schemas.microsoft.com/office/drawing/2014/main" id="{8359387B-C550-4C21-B902-EEB057F34EB7}"/>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5" name="CaixaDeTexto 154">
          <a:extLst>
            <a:ext uri="{FF2B5EF4-FFF2-40B4-BE49-F238E27FC236}">
              <a16:creationId xmlns:a16="http://schemas.microsoft.com/office/drawing/2014/main" id="{DC270BD8-390B-459B-8CCF-452B720893AC}"/>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156" name="CaixaDeTexto 155">
          <a:extLst>
            <a:ext uri="{FF2B5EF4-FFF2-40B4-BE49-F238E27FC236}">
              <a16:creationId xmlns:a16="http://schemas.microsoft.com/office/drawing/2014/main" id="{36C37571-927A-4E9A-B047-07655158BDE6}"/>
            </a:ext>
          </a:extLst>
        </xdr:cNvPr>
        <xdr:cNvSpPr txBox="1"/>
      </xdr:nvSpPr>
      <xdr:spPr>
        <a:xfrm>
          <a:off x="5250392" y="90642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461</xdr:row>
      <xdr:rowOff>0</xdr:rowOff>
    </xdr:from>
    <xdr:ext cx="184731" cy="264560"/>
    <xdr:sp macro="" textlink="">
      <xdr:nvSpPr>
        <xdr:cNvPr id="157" name="CaixaDeTexto 156">
          <a:extLst>
            <a:ext uri="{FF2B5EF4-FFF2-40B4-BE49-F238E27FC236}">
              <a16:creationId xmlns:a16="http://schemas.microsoft.com/office/drawing/2014/main" id="{1C3BCDE8-C86C-4062-8D14-875ABC1B3D2B}"/>
            </a:ext>
          </a:extLst>
        </xdr:cNvPr>
        <xdr:cNvSpPr txBox="1"/>
      </xdr:nvSpPr>
      <xdr:spPr>
        <a:xfrm>
          <a:off x="5250392" y="9084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58" name="CaixaDeTexto 157">
          <a:extLst>
            <a:ext uri="{FF2B5EF4-FFF2-40B4-BE49-F238E27FC236}">
              <a16:creationId xmlns:a16="http://schemas.microsoft.com/office/drawing/2014/main" id="{011FFF57-A1AB-4A62-A630-BE098F9A16A5}"/>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461</xdr:row>
      <xdr:rowOff>0</xdr:rowOff>
    </xdr:from>
    <xdr:ext cx="184731" cy="264560"/>
    <xdr:sp macro="" textlink="">
      <xdr:nvSpPr>
        <xdr:cNvPr id="159" name="CaixaDeTexto 158">
          <a:extLst>
            <a:ext uri="{FF2B5EF4-FFF2-40B4-BE49-F238E27FC236}">
              <a16:creationId xmlns:a16="http://schemas.microsoft.com/office/drawing/2014/main" id="{76033BAA-AD79-4980-9009-83CF744F9CE8}"/>
            </a:ext>
          </a:extLst>
        </xdr:cNvPr>
        <xdr:cNvSpPr txBox="1"/>
      </xdr:nvSpPr>
      <xdr:spPr>
        <a:xfrm>
          <a:off x="5250392" y="9084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0" name="CaixaDeTexto 159">
          <a:extLst>
            <a:ext uri="{FF2B5EF4-FFF2-40B4-BE49-F238E27FC236}">
              <a16:creationId xmlns:a16="http://schemas.microsoft.com/office/drawing/2014/main" id="{30CCB0DA-7E92-47B9-9882-072858E255CC}"/>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1" name="CaixaDeTexto 160">
          <a:extLst>
            <a:ext uri="{FF2B5EF4-FFF2-40B4-BE49-F238E27FC236}">
              <a16:creationId xmlns:a16="http://schemas.microsoft.com/office/drawing/2014/main" id="{CC46D8C6-F131-4EC3-B048-B970B524EF70}"/>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2" name="CaixaDeTexto 161">
          <a:extLst>
            <a:ext uri="{FF2B5EF4-FFF2-40B4-BE49-F238E27FC236}">
              <a16:creationId xmlns:a16="http://schemas.microsoft.com/office/drawing/2014/main" id="{45692DB0-2A42-40DA-AD1D-4BA256CEA4FC}"/>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3" name="CaixaDeTexto 162">
          <a:extLst>
            <a:ext uri="{FF2B5EF4-FFF2-40B4-BE49-F238E27FC236}">
              <a16:creationId xmlns:a16="http://schemas.microsoft.com/office/drawing/2014/main" id="{1601E137-93B8-4137-AEC5-24013C9E8E1D}"/>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4" name="CaixaDeTexto 163">
          <a:extLst>
            <a:ext uri="{FF2B5EF4-FFF2-40B4-BE49-F238E27FC236}">
              <a16:creationId xmlns:a16="http://schemas.microsoft.com/office/drawing/2014/main" id="{CF6E4852-7B11-438F-BEBE-A32DF52575EF}"/>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5" name="CaixaDeTexto 164">
          <a:extLst>
            <a:ext uri="{FF2B5EF4-FFF2-40B4-BE49-F238E27FC236}">
              <a16:creationId xmlns:a16="http://schemas.microsoft.com/office/drawing/2014/main" id="{03D6785C-51DE-4B83-9716-8DEFAB0A7EEF}"/>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464</xdr:row>
      <xdr:rowOff>0</xdr:rowOff>
    </xdr:from>
    <xdr:ext cx="184731" cy="264560"/>
    <xdr:sp macro="" textlink="">
      <xdr:nvSpPr>
        <xdr:cNvPr id="166" name="CaixaDeTexto 165">
          <a:extLst>
            <a:ext uri="{FF2B5EF4-FFF2-40B4-BE49-F238E27FC236}">
              <a16:creationId xmlns:a16="http://schemas.microsoft.com/office/drawing/2014/main" id="{74ED4C47-E831-44D8-8B45-145F244DDE20}"/>
            </a:ext>
          </a:extLst>
        </xdr:cNvPr>
        <xdr:cNvSpPr txBox="1"/>
      </xdr:nvSpPr>
      <xdr:spPr>
        <a:xfrm>
          <a:off x="5250392" y="91451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7" name="CaixaDeTexto 166">
          <a:extLst>
            <a:ext uri="{FF2B5EF4-FFF2-40B4-BE49-F238E27FC236}">
              <a16:creationId xmlns:a16="http://schemas.microsoft.com/office/drawing/2014/main" id="{86148E3D-6756-48F0-AC3B-AF97C64AD18A}"/>
            </a:ext>
          </a:extLst>
        </xdr:cNvPr>
        <xdr:cNvSpPr txBox="1"/>
      </xdr:nvSpPr>
      <xdr:spPr>
        <a:xfrm>
          <a:off x="5250392" y="9104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463</xdr:row>
      <xdr:rowOff>0</xdr:rowOff>
    </xdr:from>
    <xdr:ext cx="184731" cy="264560"/>
    <xdr:sp macro="" textlink="">
      <xdr:nvSpPr>
        <xdr:cNvPr id="168" name="CaixaDeTexto 167">
          <a:extLst>
            <a:ext uri="{FF2B5EF4-FFF2-40B4-BE49-F238E27FC236}">
              <a16:creationId xmlns:a16="http://schemas.microsoft.com/office/drawing/2014/main" id="{C5AC2E77-579B-4531-BDAC-32676B06131B}"/>
            </a:ext>
          </a:extLst>
        </xdr:cNvPr>
        <xdr:cNvSpPr txBox="1"/>
      </xdr:nvSpPr>
      <xdr:spPr>
        <a:xfrm>
          <a:off x="5250392" y="9124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69" name="CaixaDeTexto 168">
          <a:extLst>
            <a:ext uri="{FF2B5EF4-FFF2-40B4-BE49-F238E27FC236}">
              <a16:creationId xmlns:a16="http://schemas.microsoft.com/office/drawing/2014/main" id="{8772CBF1-2E04-4C47-871D-458BE9C06CD8}"/>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0" name="CaixaDeTexto 169">
          <a:extLst>
            <a:ext uri="{FF2B5EF4-FFF2-40B4-BE49-F238E27FC236}">
              <a16:creationId xmlns:a16="http://schemas.microsoft.com/office/drawing/2014/main" id="{535257FD-5A5B-4E30-8F0B-5D24B87E7C38}"/>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1" name="CaixaDeTexto 170">
          <a:extLst>
            <a:ext uri="{FF2B5EF4-FFF2-40B4-BE49-F238E27FC236}">
              <a16:creationId xmlns:a16="http://schemas.microsoft.com/office/drawing/2014/main" id="{74A78183-FEB7-4549-832D-CFE8597B2629}"/>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2" name="CaixaDeTexto 171">
          <a:extLst>
            <a:ext uri="{FF2B5EF4-FFF2-40B4-BE49-F238E27FC236}">
              <a16:creationId xmlns:a16="http://schemas.microsoft.com/office/drawing/2014/main" id="{EA817E26-F2BB-4781-A59F-FE39F0F88FFB}"/>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3" name="CaixaDeTexto 172">
          <a:extLst>
            <a:ext uri="{FF2B5EF4-FFF2-40B4-BE49-F238E27FC236}">
              <a16:creationId xmlns:a16="http://schemas.microsoft.com/office/drawing/2014/main" id="{0C59BB46-3416-46F2-9ECB-CF613F083B11}"/>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4" name="CaixaDeTexto 173">
          <a:extLst>
            <a:ext uri="{FF2B5EF4-FFF2-40B4-BE49-F238E27FC236}">
              <a16:creationId xmlns:a16="http://schemas.microsoft.com/office/drawing/2014/main" id="{4719E882-E684-47AC-85EC-598A75278FAC}"/>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5" name="CaixaDeTexto 174">
          <a:extLst>
            <a:ext uri="{FF2B5EF4-FFF2-40B4-BE49-F238E27FC236}">
              <a16:creationId xmlns:a16="http://schemas.microsoft.com/office/drawing/2014/main" id="{CEDF1FB3-CFB3-4FFF-A8F7-C330849AF51F}"/>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176" name="CaixaDeTexto 175">
          <a:extLst>
            <a:ext uri="{FF2B5EF4-FFF2-40B4-BE49-F238E27FC236}">
              <a16:creationId xmlns:a16="http://schemas.microsoft.com/office/drawing/2014/main" id="{0F0D32BF-4281-4633-9D65-6007F26536F4}"/>
            </a:ext>
          </a:extLst>
        </xdr:cNvPr>
        <xdr:cNvSpPr txBox="1"/>
      </xdr:nvSpPr>
      <xdr:spPr>
        <a:xfrm>
          <a:off x="5250392" y="894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463</xdr:row>
      <xdr:rowOff>0</xdr:rowOff>
    </xdr:from>
    <xdr:ext cx="184731" cy="264560"/>
    <xdr:sp macro="" textlink="">
      <xdr:nvSpPr>
        <xdr:cNvPr id="177" name="CaixaDeTexto 176">
          <a:extLst>
            <a:ext uri="{FF2B5EF4-FFF2-40B4-BE49-F238E27FC236}">
              <a16:creationId xmlns:a16="http://schemas.microsoft.com/office/drawing/2014/main" id="{25FBFD45-7B1F-4CDE-8AA4-9245DC0BA310}"/>
            </a:ext>
          </a:extLst>
        </xdr:cNvPr>
        <xdr:cNvSpPr txBox="1"/>
      </xdr:nvSpPr>
      <xdr:spPr>
        <a:xfrm>
          <a:off x="5250392" y="896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78" name="CaixaDeTexto 177">
          <a:extLst>
            <a:ext uri="{FF2B5EF4-FFF2-40B4-BE49-F238E27FC236}">
              <a16:creationId xmlns:a16="http://schemas.microsoft.com/office/drawing/2014/main" id="{F0CF199B-889A-447E-9869-DD6563D9DCF6}"/>
            </a:ext>
          </a:extLst>
        </xdr:cNvPr>
        <xdr:cNvSpPr txBox="1"/>
      </xdr:nvSpPr>
      <xdr:spPr>
        <a:xfrm>
          <a:off x="5250392" y="640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348</xdr:row>
      <xdr:rowOff>0</xdr:rowOff>
    </xdr:from>
    <xdr:ext cx="184731" cy="264560"/>
    <xdr:sp macro="" textlink="">
      <xdr:nvSpPr>
        <xdr:cNvPr id="181" name="CaixaDeTexto 180">
          <a:extLst>
            <a:ext uri="{FF2B5EF4-FFF2-40B4-BE49-F238E27FC236}">
              <a16:creationId xmlns:a16="http://schemas.microsoft.com/office/drawing/2014/main" id="{B27EAEAB-5DC8-457F-BA52-4842751C3468}"/>
            </a:ext>
          </a:extLst>
        </xdr:cNvPr>
        <xdr:cNvSpPr txBox="1"/>
      </xdr:nvSpPr>
      <xdr:spPr>
        <a:xfrm>
          <a:off x="5250392"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182" name="CaixaDeTexto 181">
          <a:extLst>
            <a:ext uri="{FF2B5EF4-FFF2-40B4-BE49-F238E27FC236}">
              <a16:creationId xmlns:a16="http://schemas.microsoft.com/office/drawing/2014/main" id="{61F5E563-FFFC-4201-B4DE-1C22A570857E}"/>
            </a:ext>
          </a:extLst>
        </xdr:cNvPr>
        <xdr:cNvSpPr txBox="1"/>
      </xdr:nvSpPr>
      <xdr:spPr>
        <a:xfrm>
          <a:off x="5250392" y="704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183" name="CaixaDeTexto 182">
          <a:extLst>
            <a:ext uri="{FF2B5EF4-FFF2-40B4-BE49-F238E27FC236}">
              <a16:creationId xmlns:a16="http://schemas.microsoft.com/office/drawing/2014/main" id="{6BA9105C-644C-433D-A2CE-713DC8B7C39D}"/>
            </a:ext>
          </a:extLst>
        </xdr:cNvPr>
        <xdr:cNvSpPr txBox="1"/>
      </xdr:nvSpPr>
      <xdr:spPr>
        <a:xfrm>
          <a:off x="5250392" y="704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357</xdr:row>
      <xdr:rowOff>0</xdr:rowOff>
    </xdr:from>
    <xdr:ext cx="184731" cy="264560"/>
    <xdr:sp macro="" textlink="">
      <xdr:nvSpPr>
        <xdr:cNvPr id="184" name="CaixaDeTexto 183">
          <a:extLst>
            <a:ext uri="{FF2B5EF4-FFF2-40B4-BE49-F238E27FC236}">
              <a16:creationId xmlns:a16="http://schemas.microsoft.com/office/drawing/2014/main" id="{F71E2F25-BB68-4C28-A314-C60F4874EFC8}"/>
            </a:ext>
          </a:extLst>
        </xdr:cNvPr>
        <xdr:cNvSpPr txBox="1"/>
      </xdr:nvSpPr>
      <xdr:spPr>
        <a:xfrm>
          <a:off x="5250392" y="706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185" name="CaixaDeTexto 184">
          <a:extLst>
            <a:ext uri="{FF2B5EF4-FFF2-40B4-BE49-F238E27FC236}">
              <a16:creationId xmlns:a16="http://schemas.microsoft.com/office/drawing/2014/main" id="{26E48E27-3124-481F-99C7-6ECDD84D16FB}"/>
            </a:ext>
          </a:extLst>
        </xdr:cNvPr>
        <xdr:cNvSpPr txBox="1"/>
      </xdr:nvSpPr>
      <xdr:spPr>
        <a:xfrm>
          <a:off x="5250392"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186" name="CaixaDeTexto 185">
          <a:extLst>
            <a:ext uri="{FF2B5EF4-FFF2-40B4-BE49-F238E27FC236}">
              <a16:creationId xmlns:a16="http://schemas.microsoft.com/office/drawing/2014/main" id="{63B50D1E-4E5A-4A35-AABA-E24F4E23272D}"/>
            </a:ext>
          </a:extLst>
        </xdr:cNvPr>
        <xdr:cNvSpPr txBox="1"/>
      </xdr:nvSpPr>
      <xdr:spPr>
        <a:xfrm>
          <a:off x="5250392"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187" name="CaixaDeTexto 186">
          <a:extLst>
            <a:ext uri="{FF2B5EF4-FFF2-40B4-BE49-F238E27FC236}">
              <a16:creationId xmlns:a16="http://schemas.microsoft.com/office/drawing/2014/main" id="{ECDB28B2-5834-455E-BCD3-41CE3E2A9CBA}"/>
            </a:ext>
          </a:extLst>
        </xdr:cNvPr>
        <xdr:cNvSpPr txBox="1"/>
      </xdr:nvSpPr>
      <xdr:spPr>
        <a:xfrm>
          <a:off x="5250392"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372</xdr:row>
      <xdr:rowOff>0</xdr:rowOff>
    </xdr:from>
    <xdr:ext cx="184731" cy="264560"/>
    <xdr:sp macro="" textlink="">
      <xdr:nvSpPr>
        <xdr:cNvPr id="188" name="CaixaDeTexto 187">
          <a:extLst>
            <a:ext uri="{FF2B5EF4-FFF2-40B4-BE49-F238E27FC236}">
              <a16:creationId xmlns:a16="http://schemas.microsoft.com/office/drawing/2014/main" id="{17307F19-27F1-46D4-A78E-AE5207D199B7}"/>
            </a:ext>
          </a:extLst>
        </xdr:cNvPr>
        <xdr:cNvSpPr txBox="1"/>
      </xdr:nvSpPr>
      <xdr:spPr>
        <a:xfrm>
          <a:off x="5250392" y="7380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189" name="CaixaDeTexto 188">
          <a:extLst>
            <a:ext uri="{FF2B5EF4-FFF2-40B4-BE49-F238E27FC236}">
              <a16:creationId xmlns:a16="http://schemas.microsoft.com/office/drawing/2014/main" id="{8CC7B476-A276-40FF-B05E-3EF5279DF11F}"/>
            </a:ext>
          </a:extLst>
        </xdr:cNvPr>
        <xdr:cNvSpPr txBox="1"/>
      </xdr:nvSpPr>
      <xdr:spPr>
        <a:xfrm>
          <a:off x="5250392" y="7540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190" name="CaixaDeTexto 189">
          <a:extLst>
            <a:ext uri="{FF2B5EF4-FFF2-40B4-BE49-F238E27FC236}">
              <a16:creationId xmlns:a16="http://schemas.microsoft.com/office/drawing/2014/main" id="{0685FACC-09C0-4D95-A010-382F9160372A}"/>
            </a:ext>
          </a:extLst>
        </xdr:cNvPr>
        <xdr:cNvSpPr txBox="1"/>
      </xdr:nvSpPr>
      <xdr:spPr>
        <a:xfrm>
          <a:off x="5250392" y="7540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381</xdr:row>
      <xdr:rowOff>0</xdr:rowOff>
    </xdr:from>
    <xdr:ext cx="184731" cy="264560"/>
    <xdr:sp macro="" textlink="">
      <xdr:nvSpPr>
        <xdr:cNvPr id="191" name="CaixaDeTexto 190">
          <a:extLst>
            <a:ext uri="{FF2B5EF4-FFF2-40B4-BE49-F238E27FC236}">
              <a16:creationId xmlns:a16="http://schemas.microsoft.com/office/drawing/2014/main" id="{0E1E32D5-387B-4DDC-92B9-9D9BF53FCE41}"/>
            </a:ext>
          </a:extLst>
        </xdr:cNvPr>
        <xdr:cNvSpPr txBox="1"/>
      </xdr:nvSpPr>
      <xdr:spPr>
        <a:xfrm>
          <a:off x="5250392" y="7560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383</xdr:row>
      <xdr:rowOff>0</xdr:rowOff>
    </xdr:from>
    <xdr:ext cx="184731" cy="264560"/>
    <xdr:sp macro="" textlink="">
      <xdr:nvSpPr>
        <xdr:cNvPr id="192" name="CaixaDeTexto 191">
          <a:extLst>
            <a:ext uri="{FF2B5EF4-FFF2-40B4-BE49-F238E27FC236}">
              <a16:creationId xmlns:a16="http://schemas.microsoft.com/office/drawing/2014/main" id="{AA53B232-FD03-4428-8A40-D21A5163C878}"/>
            </a:ext>
          </a:extLst>
        </xdr:cNvPr>
        <xdr:cNvSpPr txBox="1"/>
      </xdr:nvSpPr>
      <xdr:spPr>
        <a:xfrm>
          <a:off x="5250392" y="7620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383</xdr:row>
      <xdr:rowOff>0</xdr:rowOff>
    </xdr:from>
    <xdr:ext cx="184731" cy="264560"/>
    <xdr:sp macro="" textlink="">
      <xdr:nvSpPr>
        <xdr:cNvPr id="193" name="CaixaDeTexto 192">
          <a:extLst>
            <a:ext uri="{FF2B5EF4-FFF2-40B4-BE49-F238E27FC236}">
              <a16:creationId xmlns:a16="http://schemas.microsoft.com/office/drawing/2014/main" id="{C1FD7793-9456-48F3-B457-64B2EE70751B}"/>
            </a:ext>
          </a:extLst>
        </xdr:cNvPr>
        <xdr:cNvSpPr txBox="1"/>
      </xdr:nvSpPr>
      <xdr:spPr>
        <a:xfrm>
          <a:off x="5250392" y="760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396</xdr:row>
      <xdr:rowOff>0</xdr:rowOff>
    </xdr:from>
    <xdr:ext cx="184731" cy="264560"/>
    <xdr:sp macro="" textlink="">
      <xdr:nvSpPr>
        <xdr:cNvPr id="194" name="CaixaDeTexto 193">
          <a:extLst>
            <a:ext uri="{FF2B5EF4-FFF2-40B4-BE49-F238E27FC236}">
              <a16:creationId xmlns:a16="http://schemas.microsoft.com/office/drawing/2014/main" id="{5F3CFB35-B466-4FD5-A5F7-390FDF19F99A}"/>
            </a:ext>
          </a:extLst>
        </xdr:cNvPr>
        <xdr:cNvSpPr txBox="1"/>
      </xdr:nvSpPr>
      <xdr:spPr>
        <a:xfrm>
          <a:off x="5250392" y="790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397</xdr:row>
      <xdr:rowOff>0</xdr:rowOff>
    </xdr:from>
    <xdr:ext cx="184731" cy="264560"/>
    <xdr:sp macro="" textlink="">
      <xdr:nvSpPr>
        <xdr:cNvPr id="195" name="CaixaDeTexto 194">
          <a:extLst>
            <a:ext uri="{FF2B5EF4-FFF2-40B4-BE49-F238E27FC236}">
              <a16:creationId xmlns:a16="http://schemas.microsoft.com/office/drawing/2014/main" id="{74FD798C-D3EC-4B4C-8C59-209A2FD6DE57}"/>
            </a:ext>
          </a:extLst>
        </xdr:cNvPr>
        <xdr:cNvSpPr txBox="1"/>
      </xdr:nvSpPr>
      <xdr:spPr>
        <a:xfrm>
          <a:off x="5250392" y="792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199" name="CaixaDeTexto 198">
          <a:extLst>
            <a:ext uri="{FF2B5EF4-FFF2-40B4-BE49-F238E27FC236}">
              <a16:creationId xmlns:a16="http://schemas.microsoft.com/office/drawing/2014/main" id="{EAA78268-EEDD-45B3-8A8C-D768BD5EAA98}"/>
            </a:ext>
          </a:extLst>
        </xdr:cNvPr>
        <xdr:cNvSpPr txBox="1"/>
      </xdr:nvSpPr>
      <xdr:spPr>
        <a:xfrm>
          <a:off x="5250392" y="808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404</xdr:row>
      <xdr:rowOff>0</xdr:rowOff>
    </xdr:from>
    <xdr:ext cx="184731" cy="264560"/>
    <xdr:sp macro="" textlink="">
      <xdr:nvSpPr>
        <xdr:cNvPr id="200" name="CaixaDeTexto 199">
          <a:extLst>
            <a:ext uri="{FF2B5EF4-FFF2-40B4-BE49-F238E27FC236}">
              <a16:creationId xmlns:a16="http://schemas.microsoft.com/office/drawing/2014/main" id="{5C258E6C-9947-4E5D-9857-9996CAB50253}"/>
            </a:ext>
          </a:extLst>
        </xdr:cNvPr>
        <xdr:cNvSpPr txBox="1"/>
      </xdr:nvSpPr>
      <xdr:spPr>
        <a:xfrm>
          <a:off x="5250392" y="806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201" name="CaixaDeTexto 200">
          <a:extLst>
            <a:ext uri="{FF2B5EF4-FFF2-40B4-BE49-F238E27FC236}">
              <a16:creationId xmlns:a16="http://schemas.microsoft.com/office/drawing/2014/main" id="{B6831907-46D1-465D-9C36-9E0072E18C36}"/>
            </a:ext>
          </a:extLst>
        </xdr:cNvPr>
        <xdr:cNvSpPr txBox="1"/>
      </xdr:nvSpPr>
      <xdr:spPr>
        <a:xfrm>
          <a:off x="5250392" y="808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406</xdr:row>
      <xdr:rowOff>0</xdr:rowOff>
    </xdr:from>
    <xdr:ext cx="184731" cy="264560"/>
    <xdr:sp macro="" textlink="">
      <xdr:nvSpPr>
        <xdr:cNvPr id="203" name="CaixaDeTexto 202">
          <a:extLst>
            <a:ext uri="{FF2B5EF4-FFF2-40B4-BE49-F238E27FC236}">
              <a16:creationId xmlns:a16="http://schemas.microsoft.com/office/drawing/2014/main" id="{E6117E4B-02F6-4184-8444-79882A08E7A9}"/>
            </a:ext>
          </a:extLst>
        </xdr:cNvPr>
        <xdr:cNvSpPr txBox="1"/>
      </xdr:nvSpPr>
      <xdr:spPr>
        <a:xfrm>
          <a:off x="5250392" y="810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205" name="CaixaDeTexto 204">
          <a:extLst>
            <a:ext uri="{FF2B5EF4-FFF2-40B4-BE49-F238E27FC236}">
              <a16:creationId xmlns:a16="http://schemas.microsoft.com/office/drawing/2014/main" id="{D9C1CE39-146B-4957-BAA9-C3A7FF7CFDC9}"/>
            </a:ext>
          </a:extLst>
        </xdr:cNvPr>
        <xdr:cNvSpPr txBox="1"/>
      </xdr:nvSpPr>
      <xdr:spPr>
        <a:xfrm>
          <a:off x="5250392" y="8241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06" name="CaixaDeTexto 205">
          <a:extLst>
            <a:ext uri="{FF2B5EF4-FFF2-40B4-BE49-F238E27FC236}">
              <a16:creationId xmlns:a16="http://schemas.microsoft.com/office/drawing/2014/main" id="{188799B1-79A7-48B0-822D-2D80B95810A4}"/>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207" name="CaixaDeTexto 206">
          <a:extLst>
            <a:ext uri="{FF2B5EF4-FFF2-40B4-BE49-F238E27FC236}">
              <a16:creationId xmlns:a16="http://schemas.microsoft.com/office/drawing/2014/main" id="{2BC5F889-F42D-4BF8-8E3A-A8C7879E3644}"/>
            </a:ext>
          </a:extLst>
        </xdr:cNvPr>
        <xdr:cNvSpPr txBox="1"/>
      </xdr:nvSpPr>
      <xdr:spPr>
        <a:xfrm>
          <a:off x="5250392" y="8241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08" name="CaixaDeTexto 207">
          <a:extLst>
            <a:ext uri="{FF2B5EF4-FFF2-40B4-BE49-F238E27FC236}">
              <a16:creationId xmlns:a16="http://schemas.microsoft.com/office/drawing/2014/main" id="{F2C82AD9-35EF-4A72-8408-2A3F7D92E683}"/>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09" name="CaixaDeTexto 208">
          <a:extLst>
            <a:ext uri="{FF2B5EF4-FFF2-40B4-BE49-F238E27FC236}">
              <a16:creationId xmlns:a16="http://schemas.microsoft.com/office/drawing/2014/main" id="{00372987-A354-441A-A610-3F0AEFAAE6DB}"/>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10" name="CaixaDeTexto 209">
          <a:extLst>
            <a:ext uri="{FF2B5EF4-FFF2-40B4-BE49-F238E27FC236}">
              <a16:creationId xmlns:a16="http://schemas.microsoft.com/office/drawing/2014/main" id="{B00442C6-D57A-4C8C-AE48-BD80F3D492D2}"/>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11" name="CaixaDeTexto 210">
          <a:extLst>
            <a:ext uri="{FF2B5EF4-FFF2-40B4-BE49-F238E27FC236}">
              <a16:creationId xmlns:a16="http://schemas.microsoft.com/office/drawing/2014/main" id="{D0D3B3BE-C0DA-451A-B66A-276736E68F5A}"/>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12" name="CaixaDeTexto 211">
          <a:extLst>
            <a:ext uri="{FF2B5EF4-FFF2-40B4-BE49-F238E27FC236}">
              <a16:creationId xmlns:a16="http://schemas.microsoft.com/office/drawing/2014/main" id="{30768C35-363E-4A43-B468-AE4991A23506}"/>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13" name="CaixaDeTexto 212">
          <a:extLst>
            <a:ext uri="{FF2B5EF4-FFF2-40B4-BE49-F238E27FC236}">
              <a16:creationId xmlns:a16="http://schemas.microsoft.com/office/drawing/2014/main" id="{B2E5B835-3380-4773-9137-1835C596AA5C}"/>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415</xdr:row>
      <xdr:rowOff>0</xdr:rowOff>
    </xdr:from>
    <xdr:ext cx="184731" cy="264560"/>
    <xdr:sp macro="" textlink="">
      <xdr:nvSpPr>
        <xdr:cNvPr id="214" name="CaixaDeTexto 213">
          <a:extLst>
            <a:ext uri="{FF2B5EF4-FFF2-40B4-BE49-F238E27FC236}">
              <a16:creationId xmlns:a16="http://schemas.microsoft.com/office/drawing/2014/main" id="{F591FEBD-758E-461B-B346-1D6A73158B87}"/>
            </a:ext>
          </a:extLst>
        </xdr:cNvPr>
        <xdr:cNvSpPr txBox="1"/>
      </xdr:nvSpPr>
      <xdr:spPr>
        <a:xfrm>
          <a:off x="5250392" y="8301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215" name="CaixaDeTexto 214">
          <a:extLst>
            <a:ext uri="{FF2B5EF4-FFF2-40B4-BE49-F238E27FC236}">
              <a16:creationId xmlns:a16="http://schemas.microsoft.com/office/drawing/2014/main" id="{2C4667FD-1208-4892-96F3-3D093292845E}"/>
            </a:ext>
          </a:extLst>
        </xdr:cNvPr>
        <xdr:cNvSpPr txBox="1"/>
      </xdr:nvSpPr>
      <xdr:spPr>
        <a:xfrm>
          <a:off x="5250392" y="8261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415</xdr:row>
      <xdr:rowOff>0</xdr:rowOff>
    </xdr:from>
    <xdr:ext cx="184731" cy="264560"/>
    <xdr:sp macro="" textlink="">
      <xdr:nvSpPr>
        <xdr:cNvPr id="216" name="CaixaDeTexto 215">
          <a:extLst>
            <a:ext uri="{FF2B5EF4-FFF2-40B4-BE49-F238E27FC236}">
              <a16:creationId xmlns:a16="http://schemas.microsoft.com/office/drawing/2014/main" id="{79C8A474-B8EF-43A7-A63B-45BBD9EF1160}"/>
            </a:ext>
          </a:extLst>
        </xdr:cNvPr>
        <xdr:cNvSpPr txBox="1"/>
      </xdr:nvSpPr>
      <xdr:spPr>
        <a:xfrm>
          <a:off x="5250392" y="8281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217" name="CaixaDeTexto 216">
          <a:extLst>
            <a:ext uri="{FF2B5EF4-FFF2-40B4-BE49-F238E27FC236}">
              <a16:creationId xmlns:a16="http://schemas.microsoft.com/office/drawing/2014/main" id="{5BD024C8-A5C7-41C8-AC16-551F2D58D442}"/>
            </a:ext>
          </a:extLst>
        </xdr:cNvPr>
        <xdr:cNvSpPr txBox="1"/>
      </xdr:nvSpPr>
      <xdr:spPr>
        <a:xfrm>
          <a:off x="5250392" y="732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218" name="CaixaDeTexto 217">
          <a:extLst>
            <a:ext uri="{FF2B5EF4-FFF2-40B4-BE49-F238E27FC236}">
              <a16:creationId xmlns:a16="http://schemas.microsoft.com/office/drawing/2014/main" id="{1168977D-3B25-4922-8F38-AF2FF71B853B}"/>
            </a:ext>
          </a:extLst>
        </xdr:cNvPr>
        <xdr:cNvSpPr txBox="1"/>
      </xdr:nvSpPr>
      <xdr:spPr>
        <a:xfrm>
          <a:off x="5250392" y="732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219" name="CaixaDeTexto 218">
          <a:extLst>
            <a:ext uri="{FF2B5EF4-FFF2-40B4-BE49-F238E27FC236}">
              <a16:creationId xmlns:a16="http://schemas.microsoft.com/office/drawing/2014/main" id="{FDC9C982-5F24-4CD1-A573-635D7E2CDE63}"/>
            </a:ext>
          </a:extLst>
        </xdr:cNvPr>
        <xdr:cNvSpPr txBox="1"/>
      </xdr:nvSpPr>
      <xdr:spPr>
        <a:xfrm>
          <a:off x="5250392" y="732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220" name="CaixaDeTexto 219">
          <a:extLst>
            <a:ext uri="{FF2B5EF4-FFF2-40B4-BE49-F238E27FC236}">
              <a16:creationId xmlns:a16="http://schemas.microsoft.com/office/drawing/2014/main" id="{862C176A-5E64-4056-B437-36215D0DB25F}"/>
            </a:ext>
          </a:extLst>
        </xdr:cNvPr>
        <xdr:cNvSpPr txBox="1"/>
      </xdr:nvSpPr>
      <xdr:spPr>
        <a:xfrm>
          <a:off x="5250392" y="732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423</xdr:row>
      <xdr:rowOff>0</xdr:rowOff>
    </xdr:from>
    <xdr:ext cx="184731" cy="264560"/>
    <xdr:sp macro="" textlink="">
      <xdr:nvSpPr>
        <xdr:cNvPr id="221" name="CaixaDeTexto 220">
          <a:extLst>
            <a:ext uri="{FF2B5EF4-FFF2-40B4-BE49-F238E27FC236}">
              <a16:creationId xmlns:a16="http://schemas.microsoft.com/office/drawing/2014/main" id="{9297C83D-EC0E-448D-95BE-627F5B7E7070}"/>
            </a:ext>
          </a:extLst>
        </xdr:cNvPr>
        <xdr:cNvSpPr txBox="1"/>
      </xdr:nvSpPr>
      <xdr:spPr>
        <a:xfrm>
          <a:off x="5250392" y="80736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14" name="CaixaDeTexto 13">
          <a:extLst>
            <a:ext uri="{FF2B5EF4-FFF2-40B4-BE49-F238E27FC236}">
              <a16:creationId xmlns:a16="http://schemas.microsoft.com/office/drawing/2014/main" id="{3A7CD204-5843-4CD6-8341-C56449F8AD32}"/>
            </a:ext>
          </a:extLst>
        </xdr:cNvPr>
        <xdr:cNvSpPr txBox="1"/>
      </xdr:nvSpPr>
      <xdr:spPr>
        <a:xfrm>
          <a:off x="5273040" y="64526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121" name="CaixaDeTexto 120">
          <a:extLst>
            <a:ext uri="{FF2B5EF4-FFF2-40B4-BE49-F238E27FC236}">
              <a16:creationId xmlns:a16="http://schemas.microsoft.com/office/drawing/2014/main" id="{0A8DF2C9-1A1B-4E90-ACFB-A62E9D3ABC3D}"/>
            </a:ext>
          </a:extLst>
        </xdr:cNvPr>
        <xdr:cNvSpPr txBox="1"/>
      </xdr:nvSpPr>
      <xdr:spPr>
        <a:xfrm>
          <a:off x="5273040" y="64526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2" name="CaixaDeTexto 121">
          <a:extLst>
            <a:ext uri="{FF2B5EF4-FFF2-40B4-BE49-F238E27FC236}">
              <a16:creationId xmlns:a16="http://schemas.microsoft.com/office/drawing/2014/main" id="{B3A8495B-725D-4987-9A2A-A8C8B80F4FE0}"/>
            </a:ext>
          </a:extLst>
        </xdr:cNvPr>
        <xdr:cNvSpPr txBox="1"/>
      </xdr:nvSpPr>
      <xdr:spPr>
        <a:xfrm>
          <a:off x="5273040" y="6291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3" name="CaixaDeTexto 122">
          <a:extLst>
            <a:ext uri="{FF2B5EF4-FFF2-40B4-BE49-F238E27FC236}">
              <a16:creationId xmlns:a16="http://schemas.microsoft.com/office/drawing/2014/main" id="{5F3CE96C-ABFE-45E7-9CE2-7BF6D233B9BB}"/>
            </a:ext>
          </a:extLst>
        </xdr:cNvPr>
        <xdr:cNvSpPr txBox="1"/>
      </xdr:nvSpPr>
      <xdr:spPr>
        <a:xfrm>
          <a:off x="5273040" y="6291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4" name="CaixaDeTexto 123">
          <a:extLst>
            <a:ext uri="{FF2B5EF4-FFF2-40B4-BE49-F238E27FC236}">
              <a16:creationId xmlns:a16="http://schemas.microsoft.com/office/drawing/2014/main" id="{76722262-105B-4D13-BCCE-DFD548EC8D98}"/>
            </a:ext>
          </a:extLst>
        </xdr:cNvPr>
        <xdr:cNvSpPr txBox="1"/>
      </xdr:nvSpPr>
      <xdr:spPr>
        <a:xfrm>
          <a:off x="5273040" y="6291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25" name="CaixaDeTexto 124">
          <a:extLst>
            <a:ext uri="{FF2B5EF4-FFF2-40B4-BE49-F238E27FC236}">
              <a16:creationId xmlns:a16="http://schemas.microsoft.com/office/drawing/2014/main" id="{57A0D016-C452-40BE-8679-86AF17C88E64}"/>
            </a:ext>
          </a:extLst>
        </xdr:cNvPr>
        <xdr:cNvSpPr txBox="1"/>
      </xdr:nvSpPr>
      <xdr:spPr>
        <a:xfrm>
          <a:off x="5273040" y="661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26" name="CaixaDeTexto 125">
          <a:extLst>
            <a:ext uri="{FF2B5EF4-FFF2-40B4-BE49-F238E27FC236}">
              <a16:creationId xmlns:a16="http://schemas.microsoft.com/office/drawing/2014/main" id="{C3E1CA1A-15F0-4628-AB6E-B8C4985035BB}"/>
            </a:ext>
          </a:extLst>
        </xdr:cNvPr>
        <xdr:cNvSpPr txBox="1"/>
      </xdr:nvSpPr>
      <xdr:spPr>
        <a:xfrm>
          <a:off x="5273040" y="661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27" name="CaixaDeTexto 126">
          <a:extLst>
            <a:ext uri="{FF2B5EF4-FFF2-40B4-BE49-F238E27FC236}">
              <a16:creationId xmlns:a16="http://schemas.microsoft.com/office/drawing/2014/main" id="{A5FBC5E5-195D-4FC1-B322-F5256002991E}"/>
            </a:ext>
          </a:extLst>
        </xdr:cNvPr>
        <xdr:cNvSpPr txBox="1"/>
      </xdr:nvSpPr>
      <xdr:spPr>
        <a:xfrm>
          <a:off x="5273040" y="661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28" name="CaixaDeTexto 127">
          <a:extLst>
            <a:ext uri="{FF2B5EF4-FFF2-40B4-BE49-F238E27FC236}">
              <a16:creationId xmlns:a16="http://schemas.microsoft.com/office/drawing/2014/main" id="{281FC062-712C-4CD5-922B-6CC5A3C5C063}"/>
            </a:ext>
          </a:extLst>
        </xdr:cNvPr>
        <xdr:cNvSpPr txBox="1"/>
      </xdr:nvSpPr>
      <xdr:spPr>
        <a:xfrm>
          <a:off x="5273040" y="661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29" name="CaixaDeTexto 128">
          <a:extLst>
            <a:ext uri="{FF2B5EF4-FFF2-40B4-BE49-F238E27FC236}">
              <a16:creationId xmlns:a16="http://schemas.microsoft.com/office/drawing/2014/main" id="{949EBEAB-6DCF-42DF-9BE0-80BE193E8789}"/>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0" name="CaixaDeTexto 129">
          <a:extLst>
            <a:ext uri="{FF2B5EF4-FFF2-40B4-BE49-F238E27FC236}">
              <a16:creationId xmlns:a16="http://schemas.microsoft.com/office/drawing/2014/main" id="{B376C907-4D6B-414E-9ED4-CED25366DB6B}"/>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1" name="CaixaDeTexto 130">
          <a:extLst>
            <a:ext uri="{FF2B5EF4-FFF2-40B4-BE49-F238E27FC236}">
              <a16:creationId xmlns:a16="http://schemas.microsoft.com/office/drawing/2014/main" id="{4FC00914-715F-431B-912D-F4AED1905B84}"/>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2" name="CaixaDeTexto 131">
          <a:extLst>
            <a:ext uri="{FF2B5EF4-FFF2-40B4-BE49-F238E27FC236}">
              <a16:creationId xmlns:a16="http://schemas.microsoft.com/office/drawing/2014/main" id="{F95592E2-BB34-4212-B890-1C47E7F21FE5}"/>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3" name="CaixaDeTexto 132">
          <a:extLst>
            <a:ext uri="{FF2B5EF4-FFF2-40B4-BE49-F238E27FC236}">
              <a16:creationId xmlns:a16="http://schemas.microsoft.com/office/drawing/2014/main" id="{D9520E7B-10E4-4635-A17D-699E2BF94791}"/>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4" name="CaixaDeTexto 133">
          <a:extLst>
            <a:ext uri="{FF2B5EF4-FFF2-40B4-BE49-F238E27FC236}">
              <a16:creationId xmlns:a16="http://schemas.microsoft.com/office/drawing/2014/main" id="{9DC17D70-D1C8-47E1-B7CF-BF80D86C451A}"/>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5" name="CaixaDeTexto 134">
          <a:extLst>
            <a:ext uri="{FF2B5EF4-FFF2-40B4-BE49-F238E27FC236}">
              <a16:creationId xmlns:a16="http://schemas.microsoft.com/office/drawing/2014/main" id="{B44F2F36-CF80-4144-88A5-B4909E21FBC4}"/>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6" name="CaixaDeTexto 135">
          <a:extLst>
            <a:ext uri="{FF2B5EF4-FFF2-40B4-BE49-F238E27FC236}">
              <a16:creationId xmlns:a16="http://schemas.microsoft.com/office/drawing/2014/main" id="{EB925418-943F-4009-8AC8-7AF53602B6CE}"/>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7" name="CaixaDeTexto 136">
          <a:extLst>
            <a:ext uri="{FF2B5EF4-FFF2-40B4-BE49-F238E27FC236}">
              <a16:creationId xmlns:a16="http://schemas.microsoft.com/office/drawing/2014/main" id="{10E76F70-C1AC-47CE-A00A-B94609752477}"/>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8" name="CaixaDeTexto 137">
          <a:extLst>
            <a:ext uri="{FF2B5EF4-FFF2-40B4-BE49-F238E27FC236}">
              <a16:creationId xmlns:a16="http://schemas.microsoft.com/office/drawing/2014/main" id="{37C3F8AA-9132-4E4E-A867-CCF10378A506}"/>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39" name="CaixaDeTexto 138">
          <a:extLst>
            <a:ext uri="{FF2B5EF4-FFF2-40B4-BE49-F238E27FC236}">
              <a16:creationId xmlns:a16="http://schemas.microsoft.com/office/drawing/2014/main" id="{ACB639CC-4193-47EE-BA5A-9A7C76AC7979}"/>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40" name="CaixaDeTexto 139">
          <a:extLst>
            <a:ext uri="{FF2B5EF4-FFF2-40B4-BE49-F238E27FC236}">
              <a16:creationId xmlns:a16="http://schemas.microsoft.com/office/drawing/2014/main" id="{1934B17D-27EB-4F22-95C6-11116D748B1D}"/>
            </a:ext>
          </a:extLst>
        </xdr:cNvPr>
        <xdr:cNvSpPr txBox="1"/>
      </xdr:nvSpPr>
      <xdr:spPr>
        <a:xfrm>
          <a:off x="5278967" y="925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41" name="CaixaDeTexto 140">
          <a:extLst>
            <a:ext uri="{FF2B5EF4-FFF2-40B4-BE49-F238E27FC236}">
              <a16:creationId xmlns:a16="http://schemas.microsoft.com/office/drawing/2014/main" id="{B36B32EA-FA6F-4074-AE2A-8E70E0C6E44D}"/>
            </a:ext>
          </a:extLst>
        </xdr:cNvPr>
        <xdr:cNvSpPr txBox="1"/>
      </xdr:nvSpPr>
      <xdr:spPr>
        <a:xfrm>
          <a:off x="5278967" y="927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42" name="CaixaDeTexto 141">
          <a:extLst>
            <a:ext uri="{FF2B5EF4-FFF2-40B4-BE49-F238E27FC236}">
              <a16:creationId xmlns:a16="http://schemas.microsoft.com/office/drawing/2014/main" id="{7F3193E4-B24B-4271-87B6-4E746F198C4A}"/>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43" name="CaixaDeTexto 142">
          <a:extLst>
            <a:ext uri="{FF2B5EF4-FFF2-40B4-BE49-F238E27FC236}">
              <a16:creationId xmlns:a16="http://schemas.microsoft.com/office/drawing/2014/main" id="{4915D36A-C393-4AE3-9BB1-F72111B5A282}"/>
            </a:ext>
          </a:extLst>
        </xdr:cNvPr>
        <xdr:cNvSpPr txBox="1"/>
      </xdr:nvSpPr>
      <xdr:spPr>
        <a:xfrm>
          <a:off x="5278967" y="927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44" name="CaixaDeTexto 143">
          <a:extLst>
            <a:ext uri="{FF2B5EF4-FFF2-40B4-BE49-F238E27FC236}">
              <a16:creationId xmlns:a16="http://schemas.microsoft.com/office/drawing/2014/main" id="{6B87A359-6AC6-4E13-AF40-EB2D1731E03F}"/>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79" name="CaixaDeTexto 178">
          <a:extLst>
            <a:ext uri="{FF2B5EF4-FFF2-40B4-BE49-F238E27FC236}">
              <a16:creationId xmlns:a16="http://schemas.microsoft.com/office/drawing/2014/main" id="{012C9BDC-3C7C-463E-8307-FED63C14231F}"/>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80" name="CaixaDeTexto 179">
          <a:extLst>
            <a:ext uri="{FF2B5EF4-FFF2-40B4-BE49-F238E27FC236}">
              <a16:creationId xmlns:a16="http://schemas.microsoft.com/office/drawing/2014/main" id="{8A0C33BB-89B7-4566-9770-9022A166F443}"/>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198" name="CaixaDeTexto 197">
          <a:extLst>
            <a:ext uri="{FF2B5EF4-FFF2-40B4-BE49-F238E27FC236}">
              <a16:creationId xmlns:a16="http://schemas.microsoft.com/office/drawing/2014/main" id="{808B8E44-6C6F-44BA-A320-070AD6052CEA}"/>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04" name="CaixaDeTexto 203">
          <a:extLst>
            <a:ext uri="{FF2B5EF4-FFF2-40B4-BE49-F238E27FC236}">
              <a16:creationId xmlns:a16="http://schemas.microsoft.com/office/drawing/2014/main" id="{39546E66-EE73-4C96-968A-A3246589978F}"/>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2" name="CaixaDeTexto 221">
          <a:extLst>
            <a:ext uri="{FF2B5EF4-FFF2-40B4-BE49-F238E27FC236}">
              <a16:creationId xmlns:a16="http://schemas.microsoft.com/office/drawing/2014/main" id="{5A076947-1791-43D0-A6FC-2935A725AB1B}"/>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3" name="CaixaDeTexto 222">
          <a:extLst>
            <a:ext uri="{FF2B5EF4-FFF2-40B4-BE49-F238E27FC236}">
              <a16:creationId xmlns:a16="http://schemas.microsoft.com/office/drawing/2014/main" id="{1EA729FE-C09F-4685-BD0F-C209B52100D0}"/>
            </a:ext>
          </a:extLst>
        </xdr:cNvPr>
        <xdr:cNvSpPr txBox="1"/>
      </xdr:nvSpPr>
      <xdr:spPr>
        <a:xfrm>
          <a:off x="5278967" y="933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4" name="CaixaDeTexto 223">
          <a:extLst>
            <a:ext uri="{FF2B5EF4-FFF2-40B4-BE49-F238E27FC236}">
              <a16:creationId xmlns:a16="http://schemas.microsoft.com/office/drawing/2014/main" id="{BCCAE7C7-8178-41AB-999E-BDAFBE8D60FE}"/>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5" name="CaixaDeTexto 224">
          <a:extLst>
            <a:ext uri="{FF2B5EF4-FFF2-40B4-BE49-F238E27FC236}">
              <a16:creationId xmlns:a16="http://schemas.microsoft.com/office/drawing/2014/main" id="{D67E1392-A64C-4E33-9B36-049A3EAE6A2B}"/>
            </a:ext>
          </a:extLst>
        </xdr:cNvPr>
        <xdr:cNvSpPr txBox="1"/>
      </xdr:nvSpPr>
      <xdr:spPr>
        <a:xfrm>
          <a:off x="5278967" y="931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6" name="CaixaDeTexto 225">
          <a:extLst>
            <a:ext uri="{FF2B5EF4-FFF2-40B4-BE49-F238E27FC236}">
              <a16:creationId xmlns:a16="http://schemas.microsoft.com/office/drawing/2014/main" id="{AA5EA9E1-918B-4CFA-A15B-A0AB78DEC4EA}"/>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7" name="CaixaDeTexto 226">
          <a:extLst>
            <a:ext uri="{FF2B5EF4-FFF2-40B4-BE49-F238E27FC236}">
              <a16:creationId xmlns:a16="http://schemas.microsoft.com/office/drawing/2014/main" id="{A1B5FE13-045A-49C5-A719-A48B86B18ABA}"/>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8" name="CaixaDeTexto 227">
          <a:extLst>
            <a:ext uri="{FF2B5EF4-FFF2-40B4-BE49-F238E27FC236}">
              <a16:creationId xmlns:a16="http://schemas.microsoft.com/office/drawing/2014/main" id="{56C353C9-8BFC-4AE2-A97F-DD879B913B97}"/>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29" name="CaixaDeTexto 228">
          <a:extLst>
            <a:ext uri="{FF2B5EF4-FFF2-40B4-BE49-F238E27FC236}">
              <a16:creationId xmlns:a16="http://schemas.microsoft.com/office/drawing/2014/main" id="{05F185F3-E566-4819-AD2D-D82777AF9282}"/>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0" name="CaixaDeTexto 229">
          <a:extLst>
            <a:ext uri="{FF2B5EF4-FFF2-40B4-BE49-F238E27FC236}">
              <a16:creationId xmlns:a16="http://schemas.microsoft.com/office/drawing/2014/main" id="{10F03A08-787E-46D2-9E29-AFC1644B8E9A}"/>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1" name="CaixaDeTexto 230">
          <a:extLst>
            <a:ext uri="{FF2B5EF4-FFF2-40B4-BE49-F238E27FC236}">
              <a16:creationId xmlns:a16="http://schemas.microsoft.com/office/drawing/2014/main" id="{1457134D-7DAC-4BAD-92BD-25C7F455D617}"/>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2" name="CaixaDeTexto 231">
          <a:extLst>
            <a:ext uri="{FF2B5EF4-FFF2-40B4-BE49-F238E27FC236}">
              <a16:creationId xmlns:a16="http://schemas.microsoft.com/office/drawing/2014/main" id="{032032D6-D707-4A24-9FDA-E9E0570B85B1}"/>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3" name="CaixaDeTexto 232">
          <a:extLst>
            <a:ext uri="{FF2B5EF4-FFF2-40B4-BE49-F238E27FC236}">
              <a16:creationId xmlns:a16="http://schemas.microsoft.com/office/drawing/2014/main" id="{58043FFB-84CE-400F-94E1-96B35D6B2E9D}"/>
            </a:ext>
          </a:extLst>
        </xdr:cNvPr>
        <xdr:cNvSpPr txBox="1"/>
      </xdr:nvSpPr>
      <xdr:spPr>
        <a:xfrm>
          <a:off x="5278967" y="929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4" name="CaixaDeTexto 233">
          <a:extLst>
            <a:ext uri="{FF2B5EF4-FFF2-40B4-BE49-F238E27FC236}">
              <a16:creationId xmlns:a16="http://schemas.microsoft.com/office/drawing/2014/main" id="{D3E89DDA-1F5E-4070-BF2C-101EAB8F4FC0}"/>
            </a:ext>
          </a:extLst>
        </xdr:cNvPr>
        <xdr:cNvSpPr txBox="1"/>
      </xdr:nvSpPr>
      <xdr:spPr>
        <a:xfrm>
          <a:off x="5278967" y="931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5" name="CaixaDeTexto 234">
          <a:extLst>
            <a:ext uri="{FF2B5EF4-FFF2-40B4-BE49-F238E27FC236}">
              <a16:creationId xmlns:a16="http://schemas.microsoft.com/office/drawing/2014/main" id="{91892F21-5948-4368-8C4E-9AA063C77308}"/>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6" name="CaixaDeTexto 235">
          <a:extLst>
            <a:ext uri="{FF2B5EF4-FFF2-40B4-BE49-F238E27FC236}">
              <a16:creationId xmlns:a16="http://schemas.microsoft.com/office/drawing/2014/main" id="{91E6D015-ED5F-47AF-B401-DB118E8ABDB0}"/>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7" name="CaixaDeTexto 236">
          <a:extLst>
            <a:ext uri="{FF2B5EF4-FFF2-40B4-BE49-F238E27FC236}">
              <a16:creationId xmlns:a16="http://schemas.microsoft.com/office/drawing/2014/main" id="{682B557A-D6E1-46ED-BA34-45719D3F2320}"/>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8" name="CaixaDeTexto 237">
          <a:extLst>
            <a:ext uri="{FF2B5EF4-FFF2-40B4-BE49-F238E27FC236}">
              <a16:creationId xmlns:a16="http://schemas.microsoft.com/office/drawing/2014/main" id="{F101D27E-FAEE-4F3A-B887-790A3B4FB91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39" name="CaixaDeTexto 238">
          <a:extLst>
            <a:ext uri="{FF2B5EF4-FFF2-40B4-BE49-F238E27FC236}">
              <a16:creationId xmlns:a16="http://schemas.microsoft.com/office/drawing/2014/main" id="{29FE6C35-A688-4D9B-81B0-9F7E26A22BEE}"/>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0" name="CaixaDeTexto 239">
          <a:extLst>
            <a:ext uri="{FF2B5EF4-FFF2-40B4-BE49-F238E27FC236}">
              <a16:creationId xmlns:a16="http://schemas.microsoft.com/office/drawing/2014/main" id="{A7DD0001-CFB5-43C9-A223-2796511E3841}"/>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1" name="CaixaDeTexto 240">
          <a:extLst>
            <a:ext uri="{FF2B5EF4-FFF2-40B4-BE49-F238E27FC236}">
              <a16:creationId xmlns:a16="http://schemas.microsoft.com/office/drawing/2014/main" id="{7D2F6C71-5DD5-4906-BCC4-5C7C965D83BE}"/>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2" name="CaixaDeTexto 241">
          <a:extLst>
            <a:ext uri="{FF2B5EF4-FFF2-40B4-BE49-F238E27FC236}">
              <a16:creationId xmlns:a16="http://schemas.microsoft.com/office/drawing/2014/main" id="{BBC08AFD-3ACC-4FAF-A2C1-E7EC9B838798}"/>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3" name="CaixaDeTexto 242">
          <a:extLst>
            <a:ext uri="{FF2B5EF4-FFF2-40B4-BE49-F238E27FC236}">
              <a16:creationId xmlns:a16="http://schemas.microsoft.com/office/drawing/2014/main" id="{C3E6ADAC-7988-4F48-B516-87295E11A4BF}"/>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4" name="CaixaDeTexto 243">
          <a:extLst>
            <a:ext uri="{FF2B5EF4-FFF2-40B4-BE49-F238E27FC236}">
              <a16:creationId xmlns:a16="http://schemas.microsoft.com/office/drawing/2014/main" id="{20AB3BB7-5584-488B-A289-4DD61D38046D}"/>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5" name="CaixaDeTexto 244">
          <a:extLst>
            <a:ext uri="{FF2B5EF4-FFF2-40B4-BE49-F238E27FC236}">
              <a16:creationId xmlns:a16="http://schemas.microsoft.com/office/drawing/2014/main" id="{FCC0AE43-7413-4FAE-8DEE-DA93064B70DD}"/>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46" name="CaixaDeTexto 245">
          <a:extLst>
            <a:ext uri="{FF2B5EF4-FFF2-40B4-BE49-F238E27FC236}">
              <a16:creationId xmlns:a16="http://schemas.microsoft.com/office/drawing/2014/main" id="{CBEC00BD-79D6-4979-A86D-D439BE501C35}"/>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47" name="CaixaDeTexto 246">
          <a:extLst>
            <a:ext uri="{FF2B5EF4-FFF2-40B4-BE49-F238E27FC236}">
              <a16:creationId xmlns:a16="http://schemas.microsoft.com/office/drawing/2014/main" id="{537F165A-6D06-4FF1-8B88-C1E3BAB904E2}"/>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48" name="CaixaDeTexto 247">
          <a:extLst>
            <a:ext uri="{FF2B5EF4-FFF2-40B4-BE49-F238E27FC236}">
              <a16:creationId xmlns:a16="http://schemas.microsoft.com/office/drawing/2014/main" id="{6BEE7398-49EB-48A1-B0BA-AD06BE1614C7}"/>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49" name="CaixaDeTexto 248">
          <a:extLst>
            <a:ext uri="{FF2B5EF4-FFF2-40B4-BE49-F238E27FC236}">
              <a16:creationId xmlns:a16="http://schemas.microsoft.com/office/drawing/2014/main" id="{ACE2F822-DBB7-45F1-B82C-095974B9EEC8}"/>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0" name="CaixaDeTexto 249">
          <a:extLst>
            <a:ext uri="{FF2B5EF4-FFF2-40B4-BE49-F238E27FC236}">
              <a16:creationId xmlns:a16="http://schemas.microsoft.com/office/drawing/2014/main" id="{7984BB89-2BBD-4415-87A0-9A0054C73DA4}"/>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1" name="CaixaDeTexto 250">
          <a:extLst>
            <a:ext uri="{FF2B5EF4-FFF2-40B4-BE49-F238E27FC236}">
              <a16:creationId xmlns:a16="http://schemas.microsoft.com/office/drawing/2014/main" id="{A0F15F25-82FD-4537-AB12-6738E276A363}"/>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2" name="CaixaDeTexto 251">
          <a:extLst>
            <a:ext uri="{FF2B5EF4-FFF2-40B4-BE49-F238E27FC236}">
              <a16:creationId xmlns:a16="http://schemas.microsoft.com/office/drawing/2014/main" id="{159DE490-F3BC-4BC8-A1B5-B77B55DC7224}"/>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3" name="CaixaDeTexto 252">
          <a:extLst>
            <a:ext uri="{FF2B5EF4-FFF2-40B4-BE49-F238E27FC236}">
              <a16:creationId xmlns:a16="http://schemas.microsoft.com/office/drawing/2014/main" id="{8BC192BF-5592-4503-963E-C6733D55B977}"/>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4" name="CaixaDeTexto 253">
          <a:extLst>
            <a:ext uri="{FF2B5EF4-FFF2-40B4-BE49-F238E27FC236}">
              <a16:creationId xmlns:a16="http://schemas.microsoft.com/office/drawing/2014/main" id="{86439CDC-DB1A-428B-A182-52CC1D5179A3}"/>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5" name="CaixaDeTexto 254">
          <a:extLst>
            <a:ext uri="{FF2B5EF4-FFF2-40B4-BE49-F238E27FC236}">
              <a16:creationId xmlns:a16="http://schemas.microsoft.com/office/drawing/2014/main" id="{0E23B47E-5618-4E61-BF6D-0C49DFAB80E2}"/>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472</xdr:row>
      <xdr:rowOff>0</xdr:rowOff>
    </xdr:from>
    <xdr:ext cx="184731" cy="264560"/>
    <xdr:sp macro="" textlink="">
      <xdr:nvSpPr>
        <xdr:cNvPr id="256" name="CaixaDeTexto 255">
          <a:extLst>
            <a:ext uri="{FF2B5EF4-FFF2-40B4-BE49-F238E27FC236}">
              <a16:creationId xmlns:a16="http://schemas.microsoft.com/office/drawing/2014/main" id="{0B663F29-E264-421C-8015-00F3CE44B9EE}"/>
            </a:ext>
          </a:extLst>
        </xdr:cNvPr>
        <xdr:cNvSpPr txBox="1"/>
      </xdr:nvSpPr>
      <xdr:spPr>
        <a:xfrm>
          <a:off x="5278967" y="9496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7" name="CaixaDeTexto 256">
          <a:extLst>
            <a:ext uri="{FF2B5EF4-FFF2-40B4-BE49-F238E27FC236}">
              <a16:creationId xmlns:a16="http://schemas.microsoft.com/office/drawing/2014/main" id="{6F72203B-72B9-4D03-927B-D74FCB393368}"/>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471</xdr:row>
      <xdr:rowOff>0</xdr:rowOff>
    </xdr:from>
    <xdr:ext cx="184731" cy="264560"/>
    <xdr:sp macro="" textlink="">
      <xdr:nvSpPr>
        <xdr:cNvPr id="258" name="CaixaDeTexto 257">
          <a:extLst>
            <a:ext uri="{FF2B5EF4-FFF2-40B4-BE49-F238E27FC236}">
              <a16:creationId xmlns:a16="http://schemas.microsoft.com/office/drawing/2014/main" id="{8CB2187B-8F8C-442A-BE00-AC584564B601}"/>
            </a:ext>
          </a:extLst>
        </xdr:cNvPr>
        <xdr:cNvSpPr txBox="1"/>
      </xdr:nvSpPr>
      <xdr:spPr>
        <a:xfrm>
          <a:off x="5278967" y="947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59" name="CaixaDeTexto 258">
          <a:extLst>
            <a:ext uri="{FF2B5EF4-FFF2-40B4-BE49-F238E27FC236}">
              <a16:creationId xmlns:a16="http://schemas.microsoft.com/office/drawing/2014/main" id="{A57A019B-0D74-423B-A99C-1232E74B72BF}"/>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0" name="CaixaDeTexto 259">
          <a:extLst>
            <a:ext uri="{FF2B5EF4-FFF2-40B4-BE49-F238E27FC236}">
              <a16:creationId xmlns:a16="http://schemas.microsoft.com/office/drawing/2014/main" id="{7674516A-CF03-4946-9F7C-DA5F92339A50}"/>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1" name="CaixaDeTexto 260">
          <a:extLst>
            <a:ext uri="{FF2B5EF4-FFF2-40B4-BE49-F238E27FC236}">
              <a16:creationId xmlns:a16="http://schemas.microsoft.com/office/drawing/2014/main" id="{39E4DC6D-973C-4C27-A4DB-D78D3FC5BF0F}"/>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2" name="CaixaDeTexto 261">
          <a:extLst>
            <a:ext uri="{FF2B5EF4-FFF2-40B4-BE49-F238E27FC236}">
              <a16:creationId xmlns:a16="http://schemas.microsoft.com/office/drawing/2014/main" id="{724947AB-49FB-43F8-89A8-4B2641FF994B}"/>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3" name="CaixaDeTexto 262">
          <a:extLst>
            <a:ext uri="{FF2B5EF4-FFF2-40B4-BE49-F238E27FC236}">
              <a16:creationId xmlns:a16="http://schemas.microsoft.com/office/drawing/2014/main" id="{A27FA0F1-F7D4-4023-9D4C-8BDBBF933E10}"/>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4" name="CaixaDeTexto 263">
          <a:extLst>
            <a:ext uri="{FF2B5EF4-FFF2-40B4-BE49-F238E27FC236}">
              <a16:creationId xmlns:a16="http://schemas.microsoft.com/office/drawing/2014/main" id="{881904A3-9480-4210-A37A-35F2742BBC30}"/>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5" name="CaixaDeTexto 264">
          <a:extLst>
            <a:ext uri="{FF2B5EF4-FFF2-40B4-BE49-F238E27FC236}">
              <a16:creationId xmlns:a16="http://schemas.microsoft.com/office/drawing/2014/main" id="{D96E8C39-28D9-4746-AF88-A52F27688A0F}"/>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266" name="CaixaDeTexto 265">
          <a:extLst>
            <a:ext uri="{FF2B5EF4-FFF2-40B4-BE49-F238E27FC236}">
              <a16:creationId xmlns:a16="http://schemas.microsoft.com/office/drawing/2014/main" id="{574CBDC1-3401-4D0C-8A09-161C5AE84C32}"/>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471</xdr:row>
      <xdr:rowOff>0</xdr:rowOff>
    </xdr:from>
    <xdr:ext cx="184731" cy="264560"/>
    <xdr:sp macro="" textlink="">
      <xdr:nvSpPr>
        <xdr:cNvPr id="267" name="CaixaDeTexto 266">
          <a:extLst>
            <a:ext uri="{FF2B5EF4-FFF2-40B4-BE49-F238E27FC236}">
              <a16:creationId xmlns:a16="http://schemas.microsoft.com/office/drawing/2014/main" id="{1986A3E5-2858-4733-B253-BB43168AA77C}"/>
            </a:ext>
          </a:extLst>
        </xdr:cNvPr>
        <xdr:cNvSpPr txBox="1"/>
      </xdr:nvSpPr>
      <xdr:spPr>
        <a:xfrm>
          <a:off x="5278967" y="947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68" name="CaixaDeTexto 267">
          <a:extLst>
            <a:ext uri="{FF2B5EF4-FFF2-40B4-BE49-F238E27FC236}">
              <a16:creationId xmlns:a16="http://schemas.microsoft.com/office/drawing/2014/main" id="{C4075BAA-8C14-4E2C-BF9B-A8B840340AF4}"/>
            </a:ext>
          </a:extLst>
        </xdr:cNvPr>
        <xdr:cNvSpPr txBox="1"/>
      </xdr:nvSpPr>
      <xdr:spPr>
        <a:xfrm>
          <a:off x="5278967"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69" name="CaixaDeTexto 268">
          <a:extLst>
            <a:ext uri="{FF2B5EF4-FFF2-40B4-BE49-F238E27FC236}">
              <a16:creationId xmlns:a16="http://schemas.microsoft.com/office/drawing/2014/main" id="{6EA753FA-5644-4798-84E0-38EA3FDB0824}"/>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270" name="CaixaDeTexto 269">
          <a:extLst>
            <a:ext uri="{FF2B5EF4-FFF2-40B4-BE49-F238E27FC236}">
              <a16:creationId xmlns:a16="http://schemas.microsoft.com/office/drawing/2014/main" id="{90D9F0A7-2ADF-4336-8ED9-A9E8F01444BF}"/>
            </a:ext>
          </a:extLst>
        </xdr:cNvPr>
        <xdr:cNvSpPr txBox="1"/>
      </xdr:nvSpPr>
      <xdr:spPr>
        <a:xfrm>
          <a:off x="5278967"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1" name="CaixaDeTexto 270">
          <a:extLst>
            <a:ext uri="{FF2B5EF4-FFF2-40B4-BE49-F238E27FC236}">
              <a16:creationId xmlns:a16="http://schemas.microsoft.com/office/drawing/2014/main" id="{3A4EBB8E-723D-42FC-9DDA-BDAD57EADF19}"/>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2" name="CaixaDeTexto 271">
          <a:extLst>
            <a:ext uri="{FF2B5EF4-FFF2-40B4-BE49-F238E27FC236}">
              <a16:creationId xmlns:a16="http://schemas.microsoft.com/office/drawing/2014/main" id="{B911C65A-6905-47B2-80EC-4CD9DBE78BD5}"/>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3" name="CaixaDeTexto 272">
          <a:extLst>
            <a:ext uri="{FF2B5EF4-FFF2-40B4-BE49-F238E27FC236}">
              <a16:creationId xmlns:a16="http://schemas.microsoft.com/office/drawing/2014/main" id="{84C8E429-5943-42E5-A4C9-3DE9AA1C4A0C}"/>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4" name="CaixaDeTexto 273">
          <a:extLst>
            <a:ext uri="{FF2B5EF4-FFF2-40B4-BE49-F238E27FC236}">
              <a16:creationId xmlns:a16="http://schemas.microsoft.com/office/drawing/2014/main" id="{514214CE-05E5-44F3-8351-2D02EC5FB8D7}"/>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5" name="CaixaDeTexto 274">
          <a:extLst>
            <a:ext uri="{FF2B5EF4-FFF2-40B4-BE49-F238E27FC236}">
              <a16:creationId xmlns:a16="http://schemas.microsoft.com/office/drawing/2014/main" id="{72F0C737-71F6-44C9-8E24-C0E9F0D25A92}"/>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6" name="CaixaDeTexto 275">
          <a:extLst>
            <a:ext uri="{FF2B5EF4-FFF2-40B4-BE49-F238E27FC236}">
              <a16:creationId xmlns:a16="http://schemas.microsoft.com/office/drawing/2014/main" id="{4A335D40-B32E-4E30-9C46-7A01CBDCAE04}"/>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277" name="CaixaDeTexto 276">
          <a:extLst>
            <a:ext uri="{FF2B5EF4-FFF2-40B4-BE49-F238E27FC236}">
              <a16:creationId xmlns:a16="http://schemas.microsoft.com/office/drawing/2014/main" id="{526152A1-3141-438C-BACE-8AF9E8C7FB10}"/>
            </a:ext>
          </a:extLst>
        </xdr:cNvPr>
        <xdr:cNvSpPr txBox="1"/>
      </xdr:nvSpPr>
      <xdr:spPr>
        <a:xfrm>
          <a:off x="5278967" y="897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0" name="CaixaDeTexto 349">
          <a:extLst>
            <a:ext uri="{FF2B5EF4-FFF2-40B4-BE49-F238E27FC236}">
              <a16:creationId xmlns:a16="http://schemas.microsoft.com/office/drawing/2014/main" id="{28B6CBD4-C31D-4E3B-8EF3-2CBF06A592EB}"/>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1" name="CaixaDeTexto 350">
          <a:extLst>
            <a:ext uri="{FF2B5EF4-FFF2-40B4-BE49-F238E27FC236}">
              <a16:creationId xmlns:a16="http://schemas.microsoft.com/office/drawing/2014/main" id="{FD63A29C-2F4C-45A9-8F39-E0C9D3115FC0}"/>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2" name="CaixaDeTexto 351">
          <a:extLst>
            <a:ext uri="{FF2B5EF4-FFF2-40B4-BE49-F238E27FC236}">
              <a16:creationId xmlns:a16="http://schemas.microsoft.com/office/drawing/2014/main" id="{22BCC699-22D2-49FD-A14A-2DF3159B8A22}"/>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3" name="CaixaDeTexto 352">
          <a:extLst>
            <a:ext uri="{FF2B5EF4-FFF2-40B4-BE49-F238E27FC236}">
              <a16:creationId xmlns:a16="http://schemas.microsoft.com/office/drawing/2014/main" id="{16DC1F81-5009-4EB3-8AAC-361D91A447DA}"/>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4" name="CaixaDeTexto 353">
          <a:extLst>
            <a:ext uri="{FF2B5EF4-FFF2-40B4-BE49-F238E27FC236}">
              <a16:creationId xmlns:a16="http://schemas.microsoft.com/office/drawing/2014/main" id="{0AC2837A-0C8E-48D6-8E18-6EC68A3D429A}"/>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5" name="CaixaDeTexto 354">
          <a:extLst>
            <a:ext uri="{FF2B5EF4-FFF2-40B4-BE49-F238E27FC236}">
              <a16:creationId xmlns:a16="http://schemas.microsoft.com/office/drawing/2014/main" id="{C3D5E277-0702-46C4-A814-003DADCA0A3A}"/>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6" name="CaixaDeTexto 355">
          <a:extLst>
            <a:ext uri="{FF2B5EF4-FFF2-40B4-BE49-F238E27FC236}">
              <a16:creationId xmlns:a16="http://schemas.microsoft.com/office/drawing/2014/main" id="{AFA9082E-9DC9-4530-BF6C-906ED4E11B95}"/>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7" name="CaixaDeTexto 356">
          <a:extLst>
            <a:ext uri="{FF2B5EF4-FFF2-40B4-BE49-F238E27FC236}">
              <a16:creationId xmlns:a16="http://schemas.microsoft.com/office/drawing/2014/main" id="{34F24BE2-41B7-447A-A3D6-2C8A7827AB10}"/>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8" name="CaixaDeTexto 357">
          <a:extLst>
            <a:ext uri="{FF2B5EF4-FFF2-40B4-BE49-F238E27FC236}">
              <a16:creationId xmlns:a16="http://schemas.microsoft.com/office/drawing/2014/main" id="{EED162D9-FBF6-45DD-9713-826AE8E4C99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59" name="CaixaDeTexto 358">
          <a:extLst>
            <a:ext uri="{FF2B5EF4-FFF2-40B4-BE49-F238E27FC236}">
              <a16:creationId xmlns:a16="http://schemas.microsoft.com/office/drawing/2014/main" id="{5B1DB7C8-5F33-44B9-B7E0-896BA09CABC7}"/>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0" name="CaixaDeTexto 359">
          <a:extLst>
            <a:ext uri="{FF2B5EF4-FFF2-40B4-BE49-F238E27FC236}">
              <a16:creationId xmlns:a16="http://schemas.microsoft.com/office/drawing/2014/main" id="{55E5BE9A-8A0F-4037-8030-DEA01DA56112}"/>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1" name="CaixaDeTexto 360">
          <a:extLst>
            <a:ext uri="{FF2B5EF4-FFF2-40B4-BE49-F238E27FC236}">
              <a16:creationId xmlns:a16="http://schemas.microsoft.com/office/drawing/2014/main" id="{44B2743A-854A-4C36-9488-80FF30D05557}"/>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2" name="CaixaDeTexto 361">
          <a:extLst>
            <a:ext uri="{FF2B5EF4-FFF2-40B4-BE49-F238E27FC236}">
              <a16:creationId xmlns:a16="http://schemas.microsoft.com/office/drawing/2014/main" id="{12DD3E84-EDB8-40FA-864A-DD417522FF1B}"/>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3" name="CaixaDeTexto 362">
          <a:extLst>
            <a:ext uri="{FF2B5EF4-FFF2-40B4-BE49-F238E27FC236}">
              <a16:creationId xmlns:a16="http://schemas.microsoft.com/office/drawing/2014/main" id="{D36AFE41-ABEE-4B45-9F1D-921BEFCB7B15}"/>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4" name="CaixaDeTexto 363">
          <a:extLst>
            <a:ext uri="{FF2B5EF4-FFF2-40B4-BE49-F238E27FC236}">
              <a16:creationId xmlns:a16="http://schemas.microsoft.com/office/drawing/2014/main" id="{7E7E1122-548E-42D6-9F89-F626995CC0D0}"/>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5" name="CaixaDeTexto 364">
          <a:extLst>
            <a:ext uri="{FF2B5EF4-FFF2-40B4-BE49-F238E27FC236}">
              <a16:creationId xmlns:a16="http://schemas.microsoft.com/office/drawing/2014/main" id="{A067E5E0-96F0-41AA-B2E5-B8414E6ADD5E}"/>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6" name="CaixaDeTexto 365">
          <a:extLst>
            <a:ext uri="{FF2B5EF4-FFF2-40B4-BE49-F238E27FC236}">
              <a16:creationId xmlns:a16="http://schemas.microsoft.com/office/drawing/2014/main" id="{966E8F48-C080-4AFD-8B93-CE0EAF738B2D}"/>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7" name="CaixaDeTexto 366">
          <a:extLst>
            <a:ext uri="{FF2B5EF4-FFF2-40B4-BE49-F238E27FC236}">
              <a16:creationId xmlns:a16="http://schemas.microsoft.com/office/drawing/2014/main" id="{F0FC81EE-052F-4D2A-97E6-B0AA0317DF77}"/>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8" name="CaixaDeTexto 367">
          <a:extLst>
            <a:ext uri="{FF2B5EF4-FFF2-40B4-BE49-F238E27FC236}">
              <a16:creationId xmlns:a16="http://schemas.microsoft.com/office/drawing/2014/main" id="{F8CA3726-EE75-4166-9E37-AC894A6D54C8}"/>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69" name="CaixaDeTexto 368">
          <a:extLst>
            <a:ext uri="{FF2B5EF4-FFF2-40B4-BE49-F238E27FC236}">
              <a16:creationId xmlns:a16="http://schemas.microsoft.com/office/drawing/2014/main" id="{386A4247-F7A4-4DB4-82A4-D4DBCF25B2AD}"/>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0" name="CaixaDeTexto 369">
          <a:extLst>
            <a:ext uri="{FF2B5EF4-FFF2-40B4-BE49-F238E27FC236}">
              <a16:creationId xmlns:a16="http://schemas.microsoft.com/office/drawing/2014/main" id="{1836159F-7C46-475B-90BF-8836E2E45D56}"/>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1" name="CaixaDeTexto 370">
          <a:extLst>
            <a:ext uri="{FF2B5EF4-FFF2-40B4-BE49-F238E27FC236}">
              <a16:creationId xmlns:a16="http://schemas.microsoft.com/office/drawing/2014/main" id="{6C1EE3E6-0460-4EC2-92AA-3AF8CB2A548B}"/>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2" name="CaixaDeTexto 371">
          <a:extLst>
            <a:ext uri="{FF2B5EF4-FFF2-40B4-BE49-F238E27FC236}">
              <a16:creationId xmlns:a16="http://schemas.microsoft.com/office/drawing/2014/main" id="{7161AF58-24C5-4AF4-A067-122500FF246F}"/>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3" name="CaixaDeTexto 372">
          <a:extLst>
            <a:ext uri="{FF2B5EF4-FFF2-40B4-BE49-F238E27FC236}">
              <a16:creationId xmlns:a16="http://schemas.microsoft.com/office/drawing/2014/main" id="{EF154254-E959-4503-B161-51C0701A5112}"/>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4" name="CaixaDeTexto 373">
          <a:extLst>
            <a:ext uri="{FF2B5EF4-FFF2-40B4-BE49-F238E27FC236}">
              <a16:creationId xmlns:a16="http://schemas.microsoft.com/office/drawing/2014/main" id="{D4A79518-FC9A-40B2-957C-01DB9CA459A4}"/>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5" name="CaixaDeTexto 374">
          <a:extLst>
            <a:ext uri="{FF2B5EF4-FFF2-40B4-BE49-F238E27FC236}">
              <a16:creationId xmlns:a16="http://schemas.microsoft.com/office/drawing/2014/main" id="{1ADD6B7A-3B27-481B-8E2B-7BA36A80F95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6" name="CaixaDeTexto 375">
          <a:extLst>
            <a:ext uri="{FF2B5EF4-FFF2-40B4-BE49-F238E27FC236}">
              <a16:creationId xmlns:a16="http://schemas.microsoft.com/office/drawing/2014/main" id="{BFFA3451-C862-435E-8A5E-FD71FA55F7E8}"/>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7" name="CaixaDeTexto 376">
          <a:extLst>
            <a:ext uri="{FF2B5EF4-FFF2-40B4-BE49-F238E27FC236}">
              <a16:creationId xmlns:a16="http://schemas.microsoft.com/office/drawing/2014/main" id="{69700458-A428-4DFB-A980-798BDFE25C43}"/>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8" name="CaixaDeTexto 377">
          <a:extLst>
            <a:ext uri="{FF2B5EF4-FFF2-40B4-BE49-F238E27FC236}">
              <a16:creationId xmlns:a16="http://schemas.microsoft.com/office/drawing/2014/main" id="{925F150F-CC11-4DA0-8C0A-0132EC9FC1B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79" name="CaixaDeTexto 378">
          <a:extLst>
            <a:ext uri="{FF2B5EF4-FFF2-40B4-BE49-F238E27FC236}">
              <a16:creationId xmlns:a16="http://schemas.microsoft.com/office/drawing/2014/main" id="{BAE7B90D-1E2B-4F77-8647-B340ADEB0475}"/>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0" name="CaixaDeTexto 379">
          <a:extLst>
            <a:ext uri="{FF2B5EF4-FFF2-40B4-BE49-F238E27FC236}">
              <a16:creationId xmlns:a16="http://schemas.microsoft.com/office/drawing/2014/main" id="{A80042A5-4515-4E2C-985E-B69B01D87B43}"/>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1" name="CaixaDeTexto 380">
          <a:extLst>
            <a:ext uri="{FF2B5EF4-FFF2-40B4-BE49-F238E27FC236}">
              <a16:creationId xmlns:a16="http://schemas.microsoft.com/office/drawing/2014/main" id="{716890AB-9837-49BA-8D36-284BA37F8784}"/>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2" name="CaixaDeTexto 381">
          <a:extLst>
            <a:ext uri="{FF2B5EF4-FFF2-40B4-BE49-F238E27FC236}">
              <a16:creationId xmlns:a16="http://schemas.microsoft.com/office/drawing/2014/main" id="{F051C677-CEBF-45CB-96F5-FBFC62E8063F}"/>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3" name="CaixaDeTexto 382">
          <a:extLst>
            <a:ext uri="{FF2B5EF4-FFF2-40B4-BE49-F238E27FC236}">
              <a16:creationId xmlns:a16="http://schemas.microsoft.com/office/drawing/2014/main" id="{6E2FB847-2C17-41EF-AD2D-0B5BD36A4C14}"/>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4" name="CaixaDeTexto 383">
          <a:extLst>
            <a:ext uri="{FF2B5EF4-FFF2-40B4-BE49-F238E27FC236}">
              <a16:creationId xmlns:a16="http://schemas.microsoft.com/office/drawing/2014/main" id="{04AA02AF-896E-4783-B695-3F22D54B8E0F}"/>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5" name="CaixaDeTexto 384">
          <a:extLst>
            <a:ext uri="{FF2B5EF4-FFF2-40B4-BE49-F238E27FC236}">
              <a16:creationId xmlns:a16="http://schemas.microsoft.com/office/drawing/2014/main" id="{5EDB6AFF-17ED-4692-B809-AC5401D4A594}"/>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6" name="CaixaDeTexto 385">
          <a:extLst>
            <a:ext uri="{FF2B5EF4-FFF2-40B4-BE49-F238E27FC236}">
              <a16:creationId xmlns:a16="http://schemas.microsoft.com/office/drawing/2014/main" id="{F414CCCB-F7E7-460E-A642-3FFBA857244E}"/>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7" name="CaixaDeTexto 386">
          <a:extLst>
            <a:ext uri="{FF2B5EF4-FFF2-40B4-BE49-F238E27FC236}">
              <a16:creationId xmlns:a16="http://schemas.microsoft.com/office/drawing/2014/main" id="{595048DA-E4E3-4516-93A1-7CE0BEBC9BC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8" name="CaixaDeTexto 387">
          <a:extLst>
            <a:ext uri="{FF2B5EF4-FFF2-40B4-BE49-F238E27FC236}">
              <a16:creationId xmlns:a16="http://schemas.microsoft.com/office/drawing/2014/main" id="{04492A24-FB05-41BA-B42A-FD8776A8CE84}"/>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89" name="CaixaDeTexto 388">
          <a:extLst>
            <a:ext uri="{FF2B5EF4-FFF2-40B4-BE49-F238E27FC236}">
              <a16:creationId xmlns:a16="http://schemas.microsoft.com/office/drawing/2014/main" id="{B72AF72B-95CA-4AA3-8B1F-11C7B5E850FE}"/>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90" name="CaixaDeTexto 389">
          <a:extLst>
            <a:ext uri="{FF2B5EF4-FFF2-40B4-BE49-F238E27FC236}">
              <a16:creationId xmlns:a16="http://schemas.microsoft.com/office/drawing/2014/main" id="{F5BEA9DD-D81E-40A3-B2AF-168FE6AC4B6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91" name="CaixaDeTexto 390">
          <a:extLst>
            <a:ext uri="{FF2B5EF4-FFF2-40B4-BE49-F238E27FC236}">
              <a16:creationId xmlns:a16="http://schemas.microsoft.com/office/drawing/2014/main" id="{36A8ECC5-1067-421C-8F91-E39E2F4F4CD6}"/>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92" name="CaixaDeTexto 391">
          <a:extLst>
            <a:ext uri="{FF2B5EF4-FFF2-40B4-BE49-F238E27FC236}">
              <a16:creationId xmlns:a16="http://schemas.microsoft.com/office/drawing/2014/main" id="{D7284E56-F9B0-48A0-AA76-DA85220458AA}"/>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93" name="CaixaDeTexto 392">
          <a:extLst>
            <a:ext uri="{FF2B5EF4-FFF2-40B4-BE49-F238E27FC236}">
              <a16:creationId xmlns:a16="http://schemas.microsoft.com/office/drawing/2014/main" id="{6B034E9D-0756-4790-A6D3-4A86F9F959F3}"/>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394" name="CaixaDeTexto 393">
          <a:extLst>
            <a:ext uri="{FF2B5EF4-FFF2-40B4-BE49-F238E27FC236}">
              <a16:creationId xmlns:a16="http://schemas.microsoft.com/office/drawing/2014/main" id="{E9DEFED0-695F-42B3-B730-F41F39D558DC}"/>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395" name="CaixaDeTexto 394">
          <a:extLst>
            <a:ext uri="{FF2B5EF4-FFF2-40B4-BE49-F238E27FC236}">
              <a16:creationId xmlns:a16="http://schemas.microsoft.com/office/drawing/2014/main" id="{56A92458-C93D-4DDB-887D-3BD441A29CB2}"/>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396" name="CaixaDeTexto 395">
          <a:extLst>
            <a:ext uri="{FF2B5EF4-FFF2-40B4-BE49-F238E27FC236}">
              <a16:creationId xmlns:a16="http://schemas.microsoft.com/office/drawing/2014/main" id="{DC0EBCBE-CFDD-4239-8A96-BF4E7C9CE621}"/>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397" name="CaixaDeTexto 396">
          <a:extLst>
            <a:ext uri="{FF2B5EF4-FFF2-40B4-BE49-F238E27FC236}">
              <a16:creationId xmlns:a16="http://schemas.microsoft.com/office/drawing/2014/main" id="{2C189FF1-1BCF-462D-99BF-09741C5B168A}"/>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398" name="CaixaDeTexto 397">
          <a:extLst>
            <a:ext uri="{FF2B5EF4-FFF2-40B4-BE49-F238E27FC236}">
              <a16:creationId xmlns:a16="http://schemas.microsoft.com/office/drawing/2014/main" id="{EEE7ABB7-7C13-4C6F-9801-D1A0169F138C}"/>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399" name="CaixaDeTexto 398">
          <a:extLst>
            <a:ext uri="{FF2B5EF4-FFF2-40B4-BE49-F238E27FC236}">
              <a16:creationId xmlns:a16="http://schemas.microsoft.com/office/drawing/2014/main" id="{5AFAF718-3B82-4E57-9015-7E5FB847F543}"/>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0" name="CaixaDeTexto 399">
          <a:extLst>
            <a:ext uri="{FF2B5EF4-FFF2-40B4-BE49-F238E27FC236}">
              <a16:creationId xmlns:a16="http://schemas.microsoft.com/office/drawing/2014/main" id="{C4F00393-2322-41FF-BF77-C55A58D96D86}"/>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1" name="CaixaDeTexto 400">
          <a:extLst>
            <a:ext uri="{FF2B5EF4-FFF2-40B4-BE49-F238E27FC236}">
              <a16:creationId xmlns:a16="http://schemas.microsoft.com/office/drawing/2014/main" id="{34DAAFC2-AE1B-411F-AC50-29945D2991EC}"/>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2" name="CaixaDeTexto 401">
          <a:extLst>
            <a:ext uri="{FF2B5EF4-FFF2-40B4-BE49-F238E27FC236}">
              <a16:creationId xmlns:a16="http://schemas.microsoft.com/office/drawing/2014/main" id="{E7E4EE24-2987-44A9-85D4-CA9869FE90F0}"/>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3" name="CaixaDeTexto 402">
          <a:extLst>
            <a:ext uri="{FF2B5EF4-FFF2-40B4-BE49-F238E27FC236}">
              <a16:creationId xmlns:a16="http://schemas.microsoft.com/office/drawing/2014/main" id="{0389BDA9-67C6-4647-B1B6-71814CC8797D}"/>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480</xdr:row>
      <xdr:rowOff>0</xdr:rowOff>
    </xdr:from>
    <xdr:ext cx="184731" cy="264560"/>
    <xdr:sp macro="" textlink="">
      <xdr:nvSpPr>
        <xdr:cNvPr id="404" name="CaixaDeTexto 403">
          <a:extLst>
            <a:ext uri="{FF2B5EF4-FFF2-40B4-BE49-F238E27FC236}">
              <a16:creationId xmlns:a16="http://schemas.microsoft.com/office/drawing/2014/main" id="{90ABFFA8-CD6C-4D91-948B-8F393D677CDD}"/>
            </a:ext>
          </a:extLst>
        </xdr:cNvPr>
        <xdr:cNvSpPr txBox="1"/>
      </xdr:nvSpPr>
      <xdr:spPr>
        <a:xfrm>
          <a:off x="5278967" y="9496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5" name="CaixaDeTexto 404">
          <a:extLst>
            <a:ext uri="{FF2B5EF4-FFF2-40B4-BE49-F238E27FC236}">
              <a16:creationId xmlns:a16="http://schemas.microsoft.com/office/drawing/2014/main" id="{B4209215-EC90-4FBA-92B1-7E5C065A7CCB}"/>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479</xdr:row>
      <xdr:rowOff>0</xdr:rowOff>
    </xdr:from>
    <xdr:ext cx="184731" cy="264560"/>
    <xdr:sp macro="" textlink="">
      <xdr:nvSpPr>
        <xdr:cNvPr id="406" name="CaixaDeTexto 405">
          <a:extLst>
            <a:ext uri="{FF2B5EF4-FFF2-40B4-BE49-F238E27FC236}">
              <a16:creationId xmlns:a16="http://schemas.microsoft.com/office/drawing/2014/main" id="{9369D8F8-E1BF-41F4-A971-C49C287F2C6D}"/>
            </a:ext>
          </a:extLst>
        </xdr:cNvPr>
        <xdr:cNvSpPr txBox="1"/>
      </xdr:nvSpPr>
      <xdr:spPr>
        <a:xfrm>
          <a:off x="5278967" y="947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7" name="CaixaDeTexto 406">
          <a:extLst>
            <a:ext uri="{FF2B5EF4-FFF2-40B4-BE49-F238E27FC236}">
              <a16:creationId xmlns:a16="http://schemas.microsoft.com/office/drawing/2014/main" id="{55349812-A4ED-4DD5-9F17-95C833D5786B}"/>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8" name="CaixaDeTexto 407">
          <a:extLst>
            <a:ext uri="{FF2B5EF4-FFF2-40B4-BE49-F238E27FC236}">
              <a16:creationId xmlns:a16="http://schemas.microsoft.com/office/drawing/2014/main" id="{389581D8-4BAA-4C6D-8076-96C2D98738C2}"/>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09" name="CaixaDeTexto 408">
          <a:extLst>
            <a:ext uri="{FF2B5EF4-FFF2-40B4-BE49-F238E27FC236}">
              <a16:creationId xmlns:a16="http://schemas.microsoft.com/office/drawing/2014/main" id="{E12DE983-21D9-4A2B-A43E-7EED095D426C}"/>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10" name="CaixaDeTexto 409">
          <a:extLst>
            <a:ext uri="{FF2B5EF4-FFF2-40B4-BE49-F238E27FC236}">
              <a16:creationId xmlns:a16="http://schemas.microsoft.com/office/drawing/2014/main" id="{8A9DC4C6-92B1-4E96-86F2-1136DBDA8BB2}"/>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11" name="CaixaDeTexto 410">
          <a:extLst>
            <a:ext uri="{FF2B5EF4-FFF2-40B4-BE49-F238E27FC236}">
              <a16:creationId xmlns:a16="http://schemas.microsoft.com/office/drawing/2014/main" id="{2704D13A-3AC2-4A7A-866F-ED1B9DC7AFC5}"/>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12" name="CaixaDeTexto 411">
          <a:extLst>
            <a:ext uri="{FF2B5EF4-FFF2-40B4-BE49-F238E27FC236}">
              <a16:creationId xmlns:a16="http://schemas.microsoft.com/office/drawing/2014/main" id="{412630A5-59DC-4D14-AB20-8B668AA59026}"/>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13" name="CaixaDeTexto 412">
          <a:extLst>
            <a:ext uri="{FF2B5EF4-FFF2-40B4-BE49-F238E27FC236}">
              <a16:creationId xmlns:a16="http://schemas.microsoft.com/office/drawing/2014/main" id="{C1E6938F-D26B-44EF-843F-AA679F739FF5}"/>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414" name="CaixaDeTexto 413">
          <a:extLst>
            <a:ext uri="{FF2B5EF4-FFF2-40B4-BE49-F238E27FC236}">
              <a16:creationId xmlns:a16="http://schemas.microsoft.com/office/drawing/2014/main" id="{FE2D31A9-BDC5-42B2-ADC6-712DFBB06843}"/>
            </a:ext>
          </a:extLst>
        </xdr:cNvPr>
        <xdr:cNvSpPr txBox="1"/>
      </xdr:nvSpPr>
      <xdr:spPr>
        <a:xfrm>
          <a:off x="5278967"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479</xdr:row>
      <xdr:rowOff>0</xdr:rowOff>
    </xdr:from>
    <xdr:ext cx="184731" cy="264560"/>
    <xdr:sp macro="" textlink="">
      <xdr:nvSpPr>
        <xdr:cNvPr id="415" name="CaixaDeTexto 414">
          <a:extLst>
            <a:ext uri="{FF2B5EF4-FFF2-40B4-BE49-F238E27FC236}">
              <a16:creationId xmlns:a16="http://schemas.microsoft.com/office/drawing/2014/main" id="{7A7AE567-064B-4A33-A9B1-9461CA1E3FB5}"/>
            </a:ext>
          </a:extLst>
        </xdr:cNvPr>
        <xdr:cNvSpPr txBox="1"/>
      </xdr:nvSpPr>
      <xdr:spPr>
        <a:xfrm>
          <a:off x="5278967" y="947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416" name="CaixaDeTexto 415">
          <a:extLst>
            <a:ext uri="{FF2B5EF4-FFF2-40B4-BE49-F238E27FC236}">
              <a16:creationId xmlns:a16="http://schemas.microsoft.com/office/drawing/2014/main" id="{1EFDAABC-0A37-425C-B0BA-590956E8FA6D}"/>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17" name="CaixaDeTexto 416">
          <a:extLst>
            <a:ext uri="{FF2B5EF4-FFF2-40B4-BE49-F238E27FC236}">
              <a16:creationId xmlns:a16="http://schemas.microsoft.com/office/drawing/2014/main" id="{E9B5992A-88D9-4B8A-B258-81BDC35812C6}"/>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418" name="CaixaDeTexto 417">
          <a:extLst>
            <a:ext uri="{FF2B5EF4-FFF2-40B4-BE49-F238E27FC236}">
              <a16:creationId xmlns:a16="http://schemas.microsoft.com/office/drawing/2014/main" id="{90FED0F1-0A24-4306-963D-A060D9997B10}"/>
            </a:ext>
          </a:extLst>
        </xdr:cNvPr>
        <xdr:cNvSpPr txBox="1"/>
      </xdr:nvSpPr>
      <xdr:spPr>
        <a:xfrm>
          <a:off x="5278967" y="941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19" name="CaixaDeTexto 418">
          <a:extLst>
            <a:ext uri="{FF2B5EF4-FFF2-40B4-BE49-F238E27FC236}">
              <a16:creationId xmlns:a16="http://schemas.microsoft.com/office/drawing/2014/main" id="{B03FAE06-B74B-49BB-8023-12829175A727}"/>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20" name="CaixaDeTexto 419">
          <a:extLst>
            <a:ext uri="{FF2B5EF4-FFF2-40B4-BE49-F238E27FC236}">
              <a16:creationId xmlns:a16="http://schemas.microsoft.com/office/drawing/2014/main" id="{F5BD10BF-4E79-4F1B-857C-6F4568DA459B}"/>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21" name="CaixaDeTexto 420">
          <a:extLst>
            <a:ext uri="{FF2B5EF4-FFF2-40B4-BE49-F238E27FC236}">
              <a16:creationId xmlns:a16="http://schemas.microsoft.com/office/drawing/2014/main" id="{26F11901-E145-4F3A-9BE0-0181365BD537}"/>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22" name="CaixaDeTexto 421">
          <a:extLst>
            <a:ext uri="{FF2B5EF4-FFF2-40B4-BE49-F238E27FC236}">
              <a16:creationId xmlns:a16="http://schemas.microsoft.com/office/drawing/2014/main" id="{1FD7B93D-7BF1-47EF-88B6-6EE19A1878BA}"/>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23" name="CaixaDeTexto 422">
          <a:extLst>
            <a:ext uri="{FF2B5EF4-FFF2-40B4-BE49-F238E27FC236}">
              <a16:creationId xmlns:a16="http://schemas.microsoft.com/office/drawing/2014/main" id="{EBAD1CA4-462A-4B01-A0D6-95BB8B484CCA}"/>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24" name="CaixaDeTexto 423">
          <a:extLst>
            <a:ext uri="{FF2B5EF4-FFF2-40B4-BE49-F238E27FC236}">
              <a16:creationId xmlns:a16="http://schemas.microsoft.com/office/drawing/2014/main" id="{A5C1391E-27EF-4BE7-8DDF-64C0B2221D6D}"/>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425" name="CaixaDeTexto 424">
          <a:extLst>
            <a:ext uri="{FF2B5EF4-FFF2-40B4-BE49-F238E27FC236}">
              <a16:creationId xmlns:a16="http://schemas.microsoft.com/office/drawing/2014/main" id="{921443BA-9887-41EB-B68A-81AD7CB0ADE5}"/>
            </a:ext>
          </a:extLst>
        </xdr:cNvPr>
        <xdr:cNvSpPr txBox="1"/>
      </xdr:nvSpPr>
      <xdr:spPr>
        <a:xfrm>
          <a:off x="5278967"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244</xdr:row>
      <xdr:rowOff>0</xdr:rowOff>
    </xdr:from>
    <xdr:ext cx="184731" cy="264560"/>
    <xdr:sp macro="" textlink="">
      <xdr:nvSpPr>
        <xdr:cNvPr id="25" name="CaixaDeTexto 24">
          <a:extLst>
            <a:ext uri="{FF2B5EF4-FFF2-40B4-BE49-F238E27FC236}">
              <a16:creationId xmlns:a16="http://schemas.microsoft.com/office/drawing/2014/main" id="{A547DD29-0D4C-4084-AD2C-C67126C123EF}"/>
            </a:ext>
          </a:extLst>
        </xdr:cNvPr>
        <xdr:cNvSpPr txBox="1"/>
      </xdr:nvSpPr>
      <xdr:spPr>
        <a:xfrm>
          <a:off x="5278967" y="47335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252</xdr:row>
      <xdr:rowOff>0</xdr:rowOff>
    </xdr:from>
    <xdr:ext cx="184731" cy="264560"/>
    <xdr:sp macro="" textlink="">
      <xdr:nvSpPr>
        <xdr:cNvPr id="196" name="CaixaDeTexto 195">
          <a:extLst>
            <a:ext uri="{FF2B5EF4-FFF2-40B4-BE49-F238E27FC236}">
              <a16:creationId xmlns:a16="http://schemas.microsoft.com/office/drawing/2014/main" id="{1D27B8B9-A356-4ACB-8AA1-4C35B88D92DE}"/>
            </a:ext>
          </a:extLst>
        </xdr:cNvPr>
        <xdr:cNvSpPr txBox="1"/>
      </xdr:nvSpPr>
      <xdr:spPr>
        <a:xfrm>
          <a:off x="5278967" y="489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268</xdr:row>
      <xdr:rowOff>0</xdr:rowOff>
    </xdr:from>
    <xdr:ext cx="184731" cy="264560"/>
    <xdr:sp macro="" textlink="">
      <xdr:nvSpPr>
        <xdr:cNvPr id="197" name="CaixaDeTexto 196">
          <a:extLst>
            <a:ext uri="{FF2B5EF4-FFF2-40B4-BE49-F238E27FC236}">
              <a16:creationId xmlns:a16="http://schemas.microsoft.com/office/drawing/2014/main" id="{8A540A04-019F-4EF4-A1AB-5D1415176137}"/>
            </a:ext>
          </a:extLst>
        </xdr:cNvPr>
        <xdr:cNvSpPr txBox="1"/>
      </xdr:nvSpPr>
      <xdr:spPr>
        <a:xfrm>
          <a:off x="5278967" y="52090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202" name="CaixaDeTexto 201">
          <a:extLst>
            <a:ext uri="{FF2B5EF4-FFF2-40B4-BE49-F238E27FC236}">
              <a16:creationId xmlns:a16="http://schemas.microsoft.com/office/drawing/2014/main" id="{45014289-2036-492F-8CB1-DFBD91F31E65}"/>
            </a:ext>
          </a:extLst>
        </xdr:cNvPr>
        <xdr:cNvSpPr txBox="1"/>
      </xdr:nvSpPr>
      <xdr:spPr>
        <a:xfrm>
          <a:off x="5278967" y="53675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284</xdr:row>
      <xdr:rowOff>0</xdr:rowOff>
    </xdr:from>
    <xdr:ext cx="184731" cy="264560"/>
    <xdr:sp macro="" textlink="">
      <xdr:nvSpPr>
        <xdr:cNvPr id="278" name="CaixaDeTexto 277">
          <a:extLst>
            <a:ext uri="{FF2B5EF4-FFF2-40B4-BE49-F238E27FC236}">
              <a16:creationId xmlns:a16="http://schemas.microsoft.com/office/drawing/2014/main" id="{CE635D55-677C-40E0-A273-5C51DB4D3A31}"/>
            </a:ext>
          </a:extLst>
        </xdr:cNvPr>
        <xdr:cNvSpPr txBox="1"/>
      </xdr:nvSpPr>
      <xdr:spPr>
        <a:xfrm>
          <a:off x="5278967" y="552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279" name="CaixaDeTexto 278">
          <a:extLst>
            <a:ext uri="{FF2B5EF4-FFF2-40B4-BE49-F238E27FC236}">
              <a16:creationId xmlns:a16="http://schemas.microsoft.com/office/drawing/2014/main" id="{8A843398-413C-4D28-8757-1FD62ABEA381}"/>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280" name="CaixaDeTexto 279">
          <a:extLst>
            <a:ext uri="{FF2B5EF4-FFF2-40B4-BE49-F238E27FC236}">
              <a16:creationId xmlns:a16="http://schemas.microsoft.com/office/drawing/2014/main" id="{CEB85DC1-512C-402B-8310-3A8E32AED153}"/>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281" name="CaixaDeTexto 280">
          <a:extLst>
            <a:ext uri="{FF2B5EF4-FFF2-40B4-BE49-F238E27FC236}">
              <a16:creationId xmlns:a16="http://schemas.microsoft.com/office/drawing/2014/main" id="{9771E310-244F-402E-B7A7-64A9187C085D}"/>
            </a:ext>
          </a:extLst>
        </xdr:cNvPr>
        <xdr:cNvSpPr txBox="1"/>
      </xdr:nvSpPr>
      <xdr:spPr>
        <a:xfrm>
          <a:off x="5278967" y="6199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282" name="CaixaDeTexto 281">
          <a:extLst>
            <a:ext uri="{FF2B5EF4-FFF2-40B4-BE49-F238E27FC236}">
              <a16:creationId xmlns:a16="http://schemas.microsoft.com/office/drawing/2014/main" id="{D31551B6-C4DC-4B7A-80BA-80995B349ECD}"/>
            </a:ext>
          </a:extLst>
        </xdr:cNvPr>
        <xdr:cNvSpPr txBox="1"/>
      </xdr:nvSpPr>
      <xdr:spPr>
        <a:xfrm>
          <a:off x="5278967" y="63581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283" name="CaixaDeTexto 282">
          <a:extLst>
            <a:ext uri="{FF2B5EF4-FFF2-40B4-BE49-F238E27FC236}">
              <a16:creationId xmlns:a16="http://schemas.microsoft.com/office/drawing/2014/main" id="{C063D9A3-9DF6-44C9-915D-55968CB3DC17}"/>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348</xdr:row>
      <xdr:rowOff>0</xdr:rowOff>
    </xdr:from>
    <xdr:ext cx="184731" cy="264560"/>
    <xdr:sp macro="" textlink="">
      <xdr:nvSpPr>
        <xdr:cNvPr id="284" name="CaixaDeTexto 283">
          <a:extLst>
            <a:ext uri="{FF2B5EF4-FFF2-40B4-BE49-F238E27FC236}">
              <a16:creationId xmlns:a16="http://schemas.microsoft.com/office/drawing/2014/main" id="{4C04BB2F-9C30-4FB8-8ECE-352222978C58}"/>
            </a:ext>
          </a:extLst>
        </xdr:cNvPr>
        <xdr:cNvSpPr txBox="1"/>
      </xdr:nvSpPr>
      <xdr:spPr>
        <a:xfrm>
          <a:off x="5278967" y="68336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285" name="CaixaDeTexto 284">
          <a:extLst>
            <a:ext uri="{FF2B5EF4-FFF2-40B4-BE49-F238E27FC236}">
              <a16:creationId xmlns:a16="http://schemas.microsoft.com/office/drawing/2014/main" id="{BDD53FEE-E0CD-4F1D-AEAC-20ADD6F8D631}"/>
            </a:ext>
          </a:extLst>
        </xdr:cNvPr>
        <xdr:cNvSpPr txBox="1"/>
      </xdr:nvSpPr>
      <xdr:spPr>
        <a:xfrm>
          <a:off x="5278967"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286" name="CaixaDeTexto 285">
          <a:extLst>
            <a:ext uri="{FF2B5EF4-FFF2-40B4-BE49-F238E27FC236}">
              <a16:creationId xmlns:a16="http://schemas.microsoft.com/office/drawing/2014/main" id="{87FF4998-E604-4DD4-8291-8FA4E494B4BE}"/>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372</xdr:row>
      <xdr:rowOff>0</xdr:rowOff>
    </xdr:from>
    <xdr:ext cx="184731" cy="264560"/>
    <xdr:sp macro="" textlink="">
      <xdr:nvSpPr>
        <xdr:cNvPr id="287" name="CaixaDeTexto 286">
          <a:extLst>
            <a:ext uri="{FF2B5EF4-FFF2-40B4-BE49-F238E27FC236}">
              <a16:creationId xmlns:a16="http://schemas.microsoft.com/office/drawing/2014/main" id="{2109C63C-43CF-49AB-84AA-3FE6E464A66D}"/>
            </a:ext>
          </a:extLst>
        </xdr:cNvPr>
        <xdr:cNvSpPr txBox="1"/>
      </xdr:nvSpPr>
      <xdr:spPr>
        <a:xfrm>
          <a:off x="5278967" y="7328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288" name="CaixaDeTexto 287">
          <a:extLst>
            <a:ext uri="{FF2B5EF4-FFF2-40B4-BE49-F238E27FC236}">
              <a16:creationId xmlns:a16="http://schemas.microsoft.com/office/drawing/2014/main" id="{3EB3E424-123D-4114-8914-F9105D7BA296}"/>
            </a:ext>
          </a:extLst>
        </xdr:cNvPr>
        <xdr:cNvSpPr txBox="1"/>
      </xdr:nvSpPr>
      <xdr:spPr>
        <a:xfrm>
          <a:off x="5278967" y="7487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289" name="CaixaDeTexto 288">
          <a:extLst>
            <a:ext uri="{FF2B5EF4-FFF2-40B4-BE49-F238E27FC236}">
              <a16:creationId xmlns:a16="http://schemas.microsoft.com/office/drawing/2014/main" id="{0916E878-936D-4AA4-B0B3-96CFEB62183A}"/>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396</xdr:row>
      <xdr:rowOff>0</xdr:rowOff>
    </xdr:from>
    <xdr:ext cx="184731" cy="264560"/>
    <xdr:sp macro="" textlink="">
      <xdr:nvSpPr>
        <xdr:cNvPr id="290" name="CaixaDeTexto 289">
          <a:extLst>
            <a:ext uri="{FF2B5EF4-FFF2-40B4-BE49-F238E27FC236}">
              <a16:creationId xmlns:a16="http://schemas.microsoft.com/office/drawing/2014/main" id="{D1E8DDFB-05F8-4B4F-961C-B4CB30DD94E1}"/>
            </a:ext>
          </a:extLst>
        </xdr:cNvPr>
        <xdr:cNvSpPr txBox="1"/>
      </xdr:nvSpPr>
      <xdr:spPr>
        <a:xfrm>
          <a:off x="5278967" y="7844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291" name="CaixaDeTexto 290">
          <a:extLst>
            <a:ext uri="{FF2B5EF4-FFF2-40B4-BE49-F238E27FC236}">
              <a16:creationId xmlns:a16="http://schemas.microsoft.com/office/drawing/2014/main" id="{59CC2454-8645-4049-924C-905E02908DC5}"/>
            </a:ext>
          </a:extLst>
        </xdr:cNvPr>
        <xdr:cNvSpPr txBox="1"/>
      </xdr:nvSpPr>
      <xdr:spPr>
        <a:xfrm>
          <a:off x="5278967" y="80223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292" name="CaixaDeTexto 291">
          <a:extLst>
            <a:ext uri="{FF2B5EF4-FFF2-40B4-BE49-F238E27FC236}">
              <a16:creationId xmlns:a16="http://schemas.microsoft.com/office/drawing/2014/main" id="{843B0534-A52A-4E7A-8C39-15B2DFCD5099}"/>
            </a:ext>
          </a:extLst>
        </xdr:cNvPr>
        <xdr:cNvSpPr txBox="1"/>
      </xdr:nvSpPr>
      <xdr:spPr>
        <a:xfrm>
          <a:off x="5278967" y="8180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293" name="CaixaDeTexto 292">
          <a:extLst>
            <a:ext uri="{FF2B5EF4-FFF2-40B4-BE49-F238E27FC236}">
              <a16:creationId xmlns:a16="http://schemas.microsoft.com/office/drawing/2014/main" id="{8190464A-92CB-4A59-B42F-94CC2D9A4F13}"/>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294" name="CaixaDeTexto 293">
          <a:extLst>
            <a:ext uri="{FF2B5EF4-FFF2-40B4-BE49-F238E27FC236}">
              <a16:creationId xmlns:a16="http://schemas.microsoft.com/office/drawing/2014/main" id="{86758692-08F6-4D53-B9C1-8B6EFF518DC1}"/>
            </a:ext>
          </a:extLst>
        </xdr:cNvPr>
        <xdr:cNvSpPr txBox="1"/>
      </xdr:nvSpPr>
      <xdr:spPr>
        <a:xfrm>
          <a:off x="5278967" y="53675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284</xdr:row>
      <xdr:rowOff>0</xdr:rowOff>
    </xdr:from>
    <xdr:ext cx="184731" cy="264560"/>
    <xdr:sp macro="" textlink="">
      <xdr:nvSpPr>
        <xdr:cNvPr id="295" name="CaixaDeTexto 294">
          <a:extLst>
            <a:ext uri="{FF2B5EF4-FFF2-40B4-BE49-F238E27FC236}">
              <a16:creationId xmlns:a16="http://schemas.microsoft.com/office/drawing/2014/main" id="{5E6EA2B6-164F-4BC3-B08C-95943FC1A646}"/>
            </a:ext>
          </a:extLst>
        </xdr:cNvPr>
        <xdr:cNvSpPr txBox="1"/>
      </xdr:nvSpPr>
      <xdr:spPr>
        <a:xfrm>
          <a:off x="5278967" y="552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296" name="CaixaDeTexto 295">
          <a:extLst>
            <a:ext uri="{FF2B5EF4-FFF2-40B4-BE49-F238E27FC236}">
              <a16:creationId xmlns:a16="http://schemas.microsoft.com/office/drawing/2014/main" id="{FE0CD780-5785-441D-8324-38DBC8A0BD19}"/>
            </a:ext>
          </a:extLst>
        </xdr:cNvPr>
        <xdr:cNvSpPr txBox="1"/>
      </xdr:nvSpPr>
      <xdr:spPr>
        <a:xfrm>
          <a:off x="5278967" y="57043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297" name="CaixaDeTexto 296">
          <a:extLst>
            <a:ext uri="{FF2B5EF4-FFF2-40B4-BE49-F238E27FC236}">
              <a16:creationId xmlns:a16="http://schemas.microsoft.com/office/drawing/2014/main" id="{6BD30BF2-E6A9-4AA6-9203-41EA62340158}"/>
            </a:ext>
          </a:extLst>
        </xdr:cNvPr>
        <xdr:cNvSpPr txBox="1"/>
      </xdr:nvSpPr>
      <xdr:spPr>
        <a:xfrm>
          <a:off x="5278967" y="57043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298" name="CaixaDeTexto 297">
          <a:extLst>
            <a:ext uri="{FF2B5EF4-FFF2-40B4-BE49-F238E27FC236}">
              <a16:creationId xmlns:a16="http://schemas.microsoft.com/office/drawing/2014/main" id="{6D2E08B2-A06F-4C79-ABD1-EEEA6BDC334A}"/>
            </a:ext>
          </a:extLst>
        </xdr:cNvPr>
        <xdr:cNvSpPr txBox="1"/>
      </xdr:nvSpPr>
      <xdr:spPr>
        <a:xfrm>
          <a:off x="5278967" y="57043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299" name="CaixaDeTexto 298">
          <a:extLst>
            <a:ext uri="{FF2B5EF4-FFF2-40B4-BE49-F238E27FC236}">
              <a16:creationId xmlns:a16="http://schemas.microsoft.com/office/drawing/2014/main" id="{21697774-1648-441E-8673-C897C8F3DCC4}"/>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300" name="CaixaDeTexto 299">
          <a:extLst>
            <a:ext uri="{FF2B5EF4-FFF2-40B4-BE49-F238E27FC236}">
              <a16:creationId xmlns:a16="http://schemas.microsoft.com/office/drawing/2014/main" id="{FBF35972-AFEE-4832-83AE-87366D2F2A03}"/>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301" name="CaixaDeTexto 300">
          <a:extLst>
            <a:ext uri="{FF2B5EF4-FFF2-40B4-BE49-F238E27FC236}">
              <a16:creationId xmlns:a16="http://schemas.microsoft.com/office/drawing/2014/main" id="{6262A9C3-24DE-4883-AE99-709E0405FE57}"/>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302" name="CaixaDeTexto 301">
          <a:extLst>
            <a:ext uri="{FF2B5EF4-FFF2-40B4-BE49-F238E27FC236}">
              <a16:creationId xmlns:a16="http://schemas.microsoft.com/office/drawing/2014/main" id="{89FFEAA6-9A2D-415F-8478-E3E284913B36}"/>
            </a:ext>
          </a:extLst>
        </xdr:cNvPr>
        <xdr:cNvSpPr txBox="1"/>
      </xdr:nvSpPr>
      <xdr:spPr>
        <a:xfrm>
          <a:off x="5278967" y="59024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303" name="CaixaDeTexto 302">
          <a:extLst>
            <a:ext uri="{FF2B5EF4-FFF2-40B4-BE49-F238E27FC236}">
              <a16:creationId xmlns:a16="http://schemas.microsoft.com/office/drawing/2014/main" id="{B5E9B1D1-9565-437B-9BC9-FBC9D9C89F83}"/>
            </a:ext>
          </a:extLst>
        </xdr:cNvPr>
        <xdr:cNvSpPr txBox="1"/>
      </xdr:nvSpPr>
      <xdr:spPr>
        <a:xfrm>
          <a:off x="5278967" y="59024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304" name="CaixaDeTexto 303">
          <a:extLst>
            <a:ext uri="{FF2B5EF4-FFF2-40B4-BE49-F238E27FC236}">
              <a16:creationId xmlns:a16="http://schemas.microsoft.com/office/drawing/2014/main" id="{464219B0-A450-4FD3-8895-336B70359C7A}"/>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305" name="CaixaDeTexto 304">
          <a:extLst>
            <a:ext uri="{FF2B5EF4-FFF2-40B4-BE49-F238E27FC236}">
              <a16:creationId xmlns:a16="http://schemas.microsoft.com/office/drawing/2014/main" id="{C033F6A3-9C13-4A4D-926E-04D603BB7FF9}"/>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306" name="CaixaDeTexto 305">
          <a:extLst>
            <a:ext uri="{FF2B5EF4-FFF2-40B4-BE49-F238E27FC236}">
              <a16:creationId xmlns:a16="http://schemas.microsoft.com/office/drawing/2014/main" id="{0ACF02C0-2D2C-47AA-9996-6D6198479B75}"/>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307" name="CaixaDeTexto 306">
          <a:extLst>
            <a:ext uri="{FF2B5EF4-FFF2-40B4-BE49-F238E27FC236}">
              <a16:creationId xmlns:a16="http://schemas.microsoft.com/office/drawing/2014/main" id="{E18E6AE9-5BF9-4326-970E-D73D0EA21416}"/>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308" name="CaixaDeTexto 307">
          <a:extLst>
            <a:ext uri="{FF2B5EF4-FFF2-40B4-BE49-F238E27FC236}">
              <a16:creationId xmlns:a16="http://schemas.microsoft.com/office/drawing/2014/main" id="{1D24A6E6-FE60-455F-8A0E-3D4E1271A532}"/>
            </a:ext>
          </a:extLst>
        </xdr:cNvPr>
        <xdr:cNvSpPr txBox="1"/>
      </xdr:nvSpPr>
      <xdr:spPr>
        <a:xfrm>
          <a:off x="5278967" y="87157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09" name="CaixaDeTexto 308">
          <a:extLst>
            <a:ext uri="{FF2B5EF4-FFF2-40B4-BE49-F238E27FC236}">
              <a16:creationId xmlns:a16="http://schemas.microsoft.com/office/drawing/2014/main" id="{90CE5685-DA48-4E2F-BCB3-09591D7AF7F3}"/>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0" name="CaixaDeTexto 309">
          <a:extLst>
            <a:ext uri="{FF2B5EF4-FFF2-40B4-BE49-F238E27FC236}">
              <a16:creationId xmlns:a16="http://schemas.microsoft.com/office/drawing/2014/main" id="{4F98320E-1470-4615-9F80-FFA523DD4F8A}"/>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1" name="CaixaDeTexto 310">
          <a:extLst>
            <a:ext uri="{FF2B5EF4-FFF2-40B4-BE49-F238E27FC236}">
              <a16:creationId xmlns:a16="http://schemas.microsoft.com/office/drawing/2014/main" id="{49C3C3CE-BE91-4E16-AE25-D7F68D4D7E35}"/>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2" name="CaixaDeTexto 311">
          <a:extLst>
            <a:ext uri="{FF2B5EF4-FFF2-40B4-BE49-F238E27FC236}">
              <a16:creationId xmlns:a16="http://schemas.microsoft.com/office/drawing/2014/main" id="{630067E9-1869-458D-A635-9E191C26EC3C}"/>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3" name="CaixaDeTexto 312">
          <a:extLst>
            <a:ext uri="{FF2B5EF4-FFF2-40B4-BE49-F238E27FC236}">
              <a16:creationId xmlns:a16="http://schemas.microsoft.com/office/drawing/2014/main" id="{C9EE1234-9DB9-4129-A79F-444C615C9807}"/>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4" name="CaixaDeTexto 313">
          <a:extLst>
            <a:ext uri="{FF2B5EF4-FFF2-40B4-BE49-F238E27FC236}">
              <a16:creationId xmlns:a16="http://schemas.microsoft.com/office/drawing/2014/main" id="{916F11A1-8D94-4C41-A348-9164F28579BF}"/>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5" name="CaixaDeTexto 314">
          <a:extLst>
            <a:ext uri="{FF2B5EF4-FFF2-40B4-BE49-F238E27FC236}">
              <a16:creationId xmlns:a16="http://schemas.microsoft.com/office/drawing/2014/main" id="{6E8803BB-91C4-4BF7-AE61-10F084FDFFE1}"/>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6" name="CaixaDeTexto 315">
          <a:extLst>
            <a:ext uri="{FF2B5EF4-FFF2-40B4-BE49-F238E27FC236}">
              <a16:creationId xmlns:a16="http://schemas.microsoft.com/office/drawing/2014/main" id="{51EA5F3E-E826-4ACC-846B-FBD76065F0C0}"/>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7" name="CaixaDeTexto 316">
          <a:extLst>
            <a:ext uri="{FF2B5EF4-FFF2-40B4-BE49-F238E27FC236}">
              <a16:creationId xmlns:a16="http://schemas.microsoft.com/office/drawing/2014/main" id="{13F1E6B1-5040-4F5F-8836-460D324E33AC}"/>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8" name="CaixaDeTexto 317">
          <a:extLst>
            <a:ext uri="{FF2B5EF4-FFF2-40B4-BE49-F238E27FC236}">
              <a16:creationId xmlns:a16="http://schemas.microsoft.com/office/drawing/2014/main" id="{6037724A-EC8A-4368-9C14-962FE913BBB9}"/>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19" name="CaixaDeTexto 318">
          <a:extLst>
            <a:ext uri="{FF2B5EF4-FFF2-40B4-BE49-F238E27FC236}">
              <a16:creationId xmlns:a16="http://schemas.microsoft.com/office/drawing/2014/main" id="{1A0336E5-2762-489F-95CB-AB2D786A7474}"/>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320" name="CaixaDeTexto 319">
          <a:extLst>
            <a:ext uri="{FF2B5EF4-FFF2-40B4-BE49-F238E27FC236}">
              <a16:creationId xmlns:a16="http://schemas.microsoft.com/office/drawing/2014/main" id="{CE377F38-FE84-41BE-B5D4-DEE508631273}"/>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445</xdr:row>
      <xdr:rowOff>0</xdr:rowOff>
    </xdr:from>
    <xdr:ext cx="184731" cy="264560"/>
    <xdr:sp macro="" textlink="">
      <xdr:nvSpPr>
        <xdr:cNvPr id="321" name="CaixaDeTexto 320">
          <a:extLst>
            <a:ext uri="{FF2B5EF4-FFF2-40B4-BE49-F238E27FC236}">
              <a16:creationId xmlns:a16="http://schemas.microsoft.com/office/drawing/2014/main" id="{FC75BD52-8176-46B5-83D2-9026C0E35C36}"/>
            </a:ext>
          </a:extLst>
        </xdr:cNvPr>
        <xdr:cNvSpPr txBox="1"/>
      </xdr:nvSpPr>
      <xdr:spPr>
        <a:xfrm>
          <a:off x="5278967" y="88742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2" name="CaixaDeTexto 321">
          <a:extLst>
            <a:ext uri="{FF2B5EF4-FFF2-40B4-BE49-F238E27FC236}">
              <a16:creationId xmlns:a16="http://schemas.microsoft.com/office/drawing/2014/main" id="{CB74B108-2426-42C9-A9FF-D6ABC0FDBF0A}"/>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445</xdr:row>
      <xdr:rowOff>0</xdr:rowOff>
    </xdr:from>
    <xdr:ext cx="184731" cy="264560"/>
    <xdr:sp macro="" textlink="">
      <xdr:nvSpPr>
        <xdr:cNvPr id="323" name="CaixaDeTexto 322">
          <a:extLst>
            <a:ext uri="{FF2B5EF4-FFF2-40B4-BE49-F238E27FC236}">
              <a16:creationId xmlns:a16="http://schemas.microsoft.com/office/drawing/2014/main" id="{DEFF06B3-E39D-4D04-BBD7-AB4D790F1732}"/>
            </a:ext>
          </a:extLst>
        </xdr:cNvPr>
        <xdr:cNvSpPr txBox="1"/>
      </xdr:nvSpPr>
      <xdr:spPr>
        <a:xfrm>
          <a:off x="5278967" y="88742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4" name="CaixaDeTexto 323">
          <a:extLst>
            <a:ext uri="{FF2B5EF4-FFF2-40B4-BE49-F238E27FC236}">
              <a16:creationId xmlns:a16="http://schemas.microsoft.com/office/drawing/2014/main" id="{F86F2835-9E12-400A-AB59-B863B3980DCD}"/>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5" name="CaixaDeTexto 324">
          <a:extLst>
            <a:ext uri="{FF2B5EF4-FFF2-40B4-BE49-F238E27FC236}">
              <a16:creationId xmlns:a16="http://schemas.microsoft.com/office/drawing/2014/main" id="{9BB4A8A4-E56E-4309-9F2F-89C4CFD6F74B}"/>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6" name="CaixaDeTexto 325">
          <a:extLst>
            <a:ext uri="{FF2B5EF4-FFF2-40B4-BE49-F238E27FC236}">
              <a16:creationId xmlns:a16="http://schemas.microsoft.com/office/drawing/2014/main" id="{BE28A611-D57B-49A1-B3D9-05C5220D4DFE}"/>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7" name="CaixaDeTexto 326">
          <a:extLst>
            <a:ext uri="{FF2B5EF4-FFF2-40B4-BE49-F238E27FC236}">
              <a16:creationId xmlns:a16="http://schemas.microsoft.com/office/drawing/2014/main" id="{B68133D2-D632-4FDC-ACC9-BEEAE3FC67EA}"/>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8" name="CaixaDeTexto 327">
          <a:extLst>
            <a:ext uri="{FF2B5EF4-FFF2-40B4-BE49-F238E27FC236}">
              <a16:creationId xmlns:a16="http://schemas.microsoft.com/office/drawing/2014/main" id="{5ECBB702-45ED-4B69-8D03-CBD7E72B2621}"/>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29" name="CaixaDeTexto 328">
          <a:extLst>
            <a:ext uri="{FF2B5EF4-FFF2-40B4-BE49-F238E27FC236}">
              <a16:creationId xmlns:a16="http://schemas.microsoft.com/office/drawing/2014/main" id="{723596D7-EC8C-494D-AAAB-0E1A675C2039}"/>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448</xdr:row>
      <xdr:rowOff>0</xdr:rowOff>
    </xdr:from>
    <xdr:ext cx="184731" cy="264560"/>
    <xdr:sp macro="" textlink="">
      <xdr:nvSpPr>
        <xdr:cNvPr id="330" name="CaixaDeTexto 329">
          <a:extLst>
            <a:ext uri="{FF2B5EF4-FFF2-40B4-BE49-F238E27FC236}">
              <a16:creationId xmlns:a16="http://schemas.microsoft.com/office/drawing/2014/main" id="{EF6F9602-2038-4EB7-85A9-C8C18E188C46}"/>
            </a:ext>
          </a:extLst>
        </xdr:cNvPr>
        <xdr:cNvSpPr txBox="1"/>
      </xdr:nvSpPr>
      <xdr:spPr>
        <a:xfrm>
          <a:off x="5278967" y="8933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331" name="CaixaDeTexto 330">
          <a:extLst>
            <a:ext uri="{FF2B5EF4-FFF2-40B4-BE49-F238E27FC236}">
              <a16:creationId xmlns:a16="http://schemas.microsoft.com/office/drawing/2014/main" id="{1298A27C-BF28-41DC-9477-1DE1379111E7}"/>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447</xdr:row>
      <xdr:rowOff>0</xdr:rowOff>
    </xdr:from>
    <xdr:ext cx="184731" cy="264560"/>
    <xdr:sp macro="" textlink="">
      <xdr:nvSpPr>
        <xdr:cNvPr id="332" name="CaixaDeTexto 331">
          <a:extLst>
            <a:ext uri="{FF2B5EF4-FFF2-40B4-BE49-F238E27FC236}">
              <a16:creationId xmlns:a16="http://schemas.microsoft.com/office/drawing/2014/main" id="{10519E0C-0F97-4630-9ADD-F83B907DD986}"/>
            </a:ext>
          </a:extLst>
        </xdr:cNvPr>
        <xdr:cNvSpPr txBox="1"/>
      </xdr:nvSpPr>
      <xdr:spPr>
        <a:xfrm>
          <a:off x="5278967" y="891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3" name="CaixaDeTexto 332">
          <a:extLst>
            <a:ext uri="{FF2B5EF4-FFF2-40B4-BE49-F238E27FC236}">
              <a16:creationId xmlns:a16="http://schemas.microsoft.com/office/drawing/2014/main" id="{7CE85A89-B2BF-4149-B6F9-E512F3B84F09}"/>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4" name="CaixaDeTexto 333">
          <a:extLst>
            <a:ext uri="{FF2B5EF4-FFF2-40B4-BE49-F238E27FC236}">
              <a16:creationId xmlns:a16="http://schemas.microsoft.com/office/drawing/2014/main" id="{31E19BB5-D856-441B-A729-FADDE734D6B2}"/>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5" name="CaixaDeTexto 334">
          <a:extLst>
            <a:ext uri="{FF2B5EF4-FFF2-40B4-BE49-F238E27FC236}">
              <a16:creationId xmlns:a16="http://schemas.microsoft.com/office/drawing/2014/main" id="{D9243064-B19C-4075-8B23-FFB9749E1D99}"/>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6" name="CaixaDeTexto 335">
          <a:extLst>
            <a:ext uri="{FF2B5EF4-FFF2-40B4-BE49-F238E27FC236}">
              <a16:creationId xmlns:a16="http://schemas.microsoft.com/office/drawing/2014/main" id="{2D472D7E-CC12-4823-8702-B03BD6172CA1}"/>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7" name="CaixaDeTexto 336">
          <a:extLst>
            <a:ext uri="{FF2B5EF4-FFF2-40B4-BE49-F238E27FC236}">
              <a16:creationId xmlns:a16="http://schemas.microsoft.com/office/drawing/2014/main" id="{A0FB5D2F-0602-4FF4-BBAE-DF013A126C4C}"/>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8" name="CaixaDeTexto 337">
          <a:extLst>
            <a:ext uri="{FF2B5EF4-FFF2-40B4-BE49-F238E27FC236}">
              <a16:creationId xmlns:a16="http://schemas.microsoft.com/office/drawing/2014/main" id="{4A482E5F-5583-44AC-B320-32A49ECECA47}"/>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39" name="CaixaDeTexto 338">
          <a:extLst>
            <a:ext uri="{FF2B5EF4-FFF2-40B4-BE49-F238E27FC236}">
              <a16:creationId xmlns:a16="http://schemas.microsoft.com/office/drawing/2014/main" id="{53C632F8-86C3-4B04-99A8-7B192A71BAA1}"/>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0" name="CaixaDeTexto 339">
          <a:extLst>
            <a:ext uri="{FF2B5EF4-FFF2-40B4-BE49-F238E27FC236}">
              <a16:creationId xmlns:a16="http://schemas.microsoft.com/office/drawing/2014/main" id="{A9D6E647-8B3A-4994-A2FA-3C8702DCCCCC}"/>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1" name="CaixaDeTexto 340">
          <a:extLst>
            <a:ext uri="{FF2B5EF4-FFF2-40B4-BE49-F238E27FC236}">
              <a16:creationId xmlns:a16="http://schemas.microsoft.com/office/drawing/2014/main" id="{6FE8EEFB-D187-4144-AED5-A50B7E051143}"/>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2" name="CaixaDeTexto 341">
          <a:extLst>
            <a:ext uri="{FF2B5EF4-FFF2-40B4-BE49-F238E27FC236}">
              <a16:creationId xmlns:a16="http://schemas.microsoft.com/office/drawing/2014/main" id="{FC641F96-FCFA-4CC8-BBCA-F12C3816EAC3}"/>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3" name="CaixaDeTexto 342">
          <a:extLst>
            <a:ext uri="{FF2B5EF4-FFF2-40B4-BE49-F238E27FC236}">
              <a16:creationId xmlns:a16="http://schemas.microsoft.com/office/drawing/2014/main" id="{1908CF1E-DA69-40AD-BFC1-95917C407C2C}"/>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4" name="CaixaDeTexto 343">
          <a:extLst>
            <a:ext uri="{FF2B5EF4-FFF2-40B4-BE49-F238E27FC236}">
              <a16:creationId xmlns:a16="http://schemas.microsoft.com/office/drawing/2014/main" id="{E5D858C9-1846-4816-8D97-E066175BB2BA}"/>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5" name="CaixaDeTexto 344">
          <a:extLst>
            <a:ext uri="{FF2B5EF4-FFF2-40B4-BE49-F238E27FC236}">
              <a16:creationId xmlns:a16="http://schemas.microsoft.com/office/drawing/2014/main" id="{1BAA17D0-9B99-4A66-82C4-B2CA07CA9A96}"/>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6" name="CaixaDeTexto 345">
          <a:extLst>
            <a:ext uri="{FF2B5EF4-FFF2-40B4-BE49-F238E27FC236}">
              <a16:creationId xmlns:a16="http://schemas.microsoft.com/office/drawing/2014/main" id="{748B3858-3DE3-4CEB-B569-D282F77D418E}"/>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7" name="CaixaDeTexto 346">
          <a:extLst>
            <a:ext uri="{FF2B5EF4-FFF2-40B4-BE49-F238E27FC236}">
              <a16:creationId xmlns:a16="http://schemas.microsoft.com/office/drawing/2014/main" id="{A0573C1D-46DF-4F43-9CAA-1CEEF2900889}"/>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8" name="CaixaDeTexto 347">
          <a:extLst>
            <a:ext uri="{FF2B5EF4-FFF2-40B4-BE49-F238E27FC236}">
              <a16:creationId xmlns:a16="http://schemas.microsoft.com/office/drawing/2014/main" id="{87741322-0120-4F80-A987-3CF7DF5B158C}"/>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349" name="CaixaDeTexto 348">
          <a:extLst>
            <a:ext uri="{FF2B5EF4-FFF2-40B4-BE49-F238E27FC236}">
              <a16:creationId xmlns:a16="http://schemas.microsoft.com/office/drawing/2014/main" id="{A64B7C04-81E9-4D43-8BE6-CB9DBA1B90A8}"/>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26" name="CaixaDeTexto 425">
          <a:extLst>
            <a:ext uri="{FF2B5EF4-FFF2-40B4-BE49-F238E27FC236}">
              <a16:creationId xmlns:a16="http://schemas.microsoft.com/office/drawing/2014/main" id="{FF45A2F7-7A3A-4BA1-A126-22F6A51C05CA}"/>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27" name="CaixaDeTexto 426">
          <a:extLst>
            <a:ext uri="{FF2B5EF4-FFF2-40B4-BE49-F238E27FC236}">
              <a16:creationId xmlns:a16="http://schemas.microsoft.com/office/drawing/2014/main" id="{C485CBC3-DB87-4F57-AFB7-D7DEA287422C}"/>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28" name="CaixaDeTexto 427">
          <a:extLst>
            <a:ext uri="{FF2B5EF4-FFF2-40B4-BE49-F238E27FC236}">
              <a16:creationId xmlns:a16="http://schemas.microsoft.com/office/drawing/2014/main" id="{FBD25CC0-637F-404A-99C2-C42C96D01DDD}"/>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29" name="CaixaDeTexto 428">
          <a:extLst>
            <a:ext uri="{FF2B5EF4-FFF2-40B4-BE49-F238E27FC236}">
              <a16:creationId xmlns:a16="http://schemas.microsoft.com/office/drawing/2014/main" id="{89F46112-8C07-4365-8600-C3D135E271CF}"/>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30" name="CaixaDeTexto 429">
          <a:extLst>
            <a:ext uri="{FF2B5EF4-FFF2-40B4-BE49-F238E27FC236}">
              <a16:creationId xmlns:a16="http://schemas.microsoft.com/office/drawing/2014/main" id="{C281ADC9-3729-4600-8D22-E292DA71DF6A}"/>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31" name="CaixaDeTexto 430">
          <a:extLst>
            <a:ext uri="{FF2B5EF4-FFF2-40B4-BE49-F238E27FC236}">
              <a16:creationId xmlns:a16="http://schemas.microsoft.com/office/drawing/2014/main" id="{A26CD2DA-E7A2-48D7-96E8-930E1826F0CD}"/>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432" name="CaixaDeTexto 431">
          <a:extLst>
            <a:ext uri="{FF2B5EF4-FFF2-40B4-BE49-F238E27FC236}">
              <a16:creationId xmlns:a16="http://schemas.microsoft.com/office/drawing/2014/main" id="{0B8CB7A3-58D4-4379-AC33-BBE0C0404DD7}"/>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433" name="CaixaDeTexto 432">
          <a:extLst>
            <a:ext uri="{FF2B5EF4-FFF2-40B4-BE49-F238E27FC236}">
              <a16:creationId xmlns:a16="http://schemas.microsoft.com/office/drawing/2014/main" id="{4A61B146-364D-4C7D-863A-D1C840D7F5B7}"/>
            </a:ext>
          </a:extLst>
        </xdr:cNvPr>
        <xdr:cNvSpPr txBox="1"/>
      </xdr:nvSpPr>
      <xdr:spPr>
        <a:xfrm>
          <a:off x="5278967" y="87157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34" name="CaixaDeTexto 433">
          <a:extLst>
            <a:ext uri="{FF2B5EF4-FFF2-40B4-BE49-F238E27FC236}">
              <a16:creationId xmlns:a16="http://schemas.microsoft.com/office/drawing/2014/main" id="{320D0AD2-D3AF-4E66-99E6-984D3D573A0D}"/>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435" name="CaixaDeTexto 434">
          <a:extLst>
            <a:ext uri="{FF2B5EF4-FFF2-40B4-BE49-F238E27FC236}">
              <a16:creationId xmlns:a16="http://schemas.microsoft.com/office/drawing/2014/main" id="{FB9321C4-2CEE-4D3B-AB93-D1C3FA4AEE6E}"/>
            </a:ext>
          </a:extLst>
        </xdr:cNvPr>
        <xdr:cNvSpPr txBox="1"/>
      </xdr:nvSpPr>
      <xdr:spPr>
        <a:xfrm>
          <a:off x="5278967" y="87157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36" name="CaixaDeTexto 435">
          <a:extLst>
            <a:ext uri="{FF2B5EF4-FFF2-40B4-BE49-F238E27FC236}">
              <a16:creationId xmlns:a16="http://schemas.microsoft.com/office/drawing/2014/main" id="{B0313C1E-2611-4BF4-B4E4-200DC3A2F44C}"/>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37" name="CaixaDeTexto 436">
          <a:extLst>
            <a:ext uri="{FF2B5EF4-FFF2-40B4-BE49-F238E27FC236}">
              <a16:creationId xmlns:a16="http://schemas.microsoft.com/office/drawing/2014/main" id="{D9D02714-D543-437C-827A-65FB027E196E}"/>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38" name="CaixaDeTexto 437">
          <a:extLst>
            <a:ext uri="{FF2B5EF4-FFF2-40B4-BE49-F238E27FC236}">
              <a16:creationId xmlns:a16="http://schemas.microsoft.com/office/drawing/2014/main" id="{3D08EAD6-B7BC-45D1-B5A2-4BD4214AAE64}"/>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39" name="CaixaDeTexto 438">
          <a:extLst>
            <a:ext uri="{FF2B5EF4-FFF2-40B4-BE49-F238E27FC236}">
              <a16:creationId xmlns:a16="http://schemas.microsoft.com/office/drawing/2014/main" id="{72E83A23-283B-4EE7-A86F-A02318C5E9FE}"/>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40" name="CaixaDeTexto 439">
          <a:extLst>
            <a:ext uri="{FF2B5EF4-FFF2-40B4-BE49-F238E27FC236}">
              <a16:creationId xmlns:a16="http://schemas.microsoft.com/office/drawing/2014/main" id="{73AEA1B2-3973-4739-A837-8F277F5E8558}"/>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441" name="CaixaDeTexto 440">
          <a:extLst>
            <a:ext uri="{FF2B5EF4-FFF2-40B4-BE49-F238E27FC236}">
              <a16:creationId xmlns:a16="http://schemas.microsoft.com/office/drawing/2014/main" id="{2C2180E8-010E-48FB-8BC5-BEB73DD031FB}"/>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439</xdr:row>
      <xdr:rowOff>0</xdr:rowOff>
    </xdr:from>
    <xdr:ext cx="184731" cy="264560"/>
    <xdr:sp macro="" textlink="">
      <xdr:nvSpPr>
        <xdr:cNvPr id="442" name="CaixaDeTexto 441">
          <a:extLst>
            <a:ext uri="{FF2B5EF4-FFF2-40B4-BE49-F238E27FC236}">
              <a16:creationId xmlns:a16="http://schemas.microsoft.com/office/drawing/2014/main" id="{63D36DF2-B90E-4EC0-B214-550FB51BB202}"/>
            </a:ext>
          </a:extLst>
        </xdr:cNvPr>
        <xdr:cNvSpPr txBox="1"/>
      </xdr:nvSpPr>
      <xdr:spPr>
        <a:xfrm>
          <a:off x="5278967" y="875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3" name="CaixaDeTexto 442">
          <a:extLst>
            <a:ext uri="{FF2B5EF4-FFF2-40B4-BE49-F238E27FC236}">
              <a16:creationId xmlns:a16="http://schemas.microsoft.com/office/drawing/2014/main" id="{82D4BDBC-D22F-4266-A6EB-D72DC8003258}"/>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4" name="CaixaDeTexto 443">
          <a:extLst>
            <a:ext uri="{FF2B5EF4-FFF2-40B4-BE49-F238E27FC236}">
              <a16:creationId xmlns:a16="http://schemas.microsoft.com/office/drawing/2014/main" id="{F55008D7-FD2A-4373-A55C-80C0D94B2080}"/>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5" name="CaixaDeTexto 444">
          <a:extLst>
            <a:ext uri="{FF2B5EF4-FFF2-40B4-BE49-F238E27FC236}">
              <a16:creationId xmlns:a16="http://schemas.microsoft.com/office/drawing/2014/main" id="{FF673089-F303-4D71-8017-D2089C323CCA}"/>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6" name="CaixaDeTexto 445">
          <a:extLst>
            <a:ext uri="{FF2B5EF4-FFF2-40B4-BE49-F238E27FC236}">
              <a16:creationId xmlns:a16="http://schemas.microsoft.com/office/drawing/2014/main" id="{315E2D60-CF4A-4DAF-B9A1-B44776D42B01}"/>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7" name="CaixaDeTexto 446">
          <a:extLst>
            <a:ext uri="{FF2B5EF4-FFF2-40B4-BE49-F238E27FC236}">
              <a16:creationId xmlns:a16="http://schemas.microsoft.com/office/drawing/2014/main" id="{2DDEE8CE-4674-42A9-8EA2-C67365998D6F}"/>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8" name="CaixaDeTexto 447">
          <a:extLst>
            <a:ext uri="{FF2B5EF4-FFF2-40B4-BE49-F238E27FC236}">
              <a16:creationId xmlns:a16="http://schemas.microsoft.com/office/drawing/2014/main" id="{6852A3EE-2570-41D0-846D-4385A03DF25A}"/>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49" name="CaixaDeTexto 448">
          <a:extLst>
            <a:ext uri="{FF2B5EF4-FFF2-40B4-BE49-F238E27FC236}">
              <a16:creationId xmlns:a16="http://schemas.microsoft.com/office/drawing/2014/main" id="{9F973382-11FA-4A5B-B517-55BCCDFCD4D8}"/>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50" name="CaixaDeTexto 449">
          <a:extLst>
            <a:ext uri="{FF2B5EF4-FFF2-40B4-BE49-F238E27FC236}">
              <a16:creationId xmlns:a16="http://schemas.microsoft.com/office/drawing/2014/main" id="{C70BF632-3D7E-4BD1-B8C6-9DD8B7C6348F}"/>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51" name="CaixaDeTexto 450">
          <a:extLst>
            <a:ext uri="{FF2B5EF4-FFF2-40B4-BE49-F238E27FC236}">
              <a16:creationId xmlns:a16="http://schemas.microsoft.com/office/drawing/2014/main" id="{14AF2168-DA2C-4B84-B2F2-BFBD9A6C1530}"/>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52" name="CaixaDeTexto 451">
          <a:extLst>
            <a:ext uri="{FF2B5EF4-FFF2-40B4-BE49-F238E27FC236}">
              <a16:creationId xmlns:a16="http://schemas.microsoft.com/office/drawing/2014/main" id="{469E8451-4BC8-4C74-8A1F-219DE1335A6B}"/>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53" name="CaixaDeTexto 452">
          <a:extLst>
            <a:ext uri="{FF2B5EF4-FFF2-40B4-BE49-F238E27FC236}">
              <a16:creationId xmlns:a16="http://schemas.microsoft.com/office/drawing/2014/main" id="{138AB718-8B5C-4A19-A5E7-0E1CBD009B43}"/>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454" name="CaixaDeTexto 453">
          <a:extLst>
            <a:ext uri="{FF2B5EF4-FFF2-40B4-BE49-F238E27FC236}">
              <a16:creationId xmlns:a16="http://schemas.microsoft.com/office/drawing/2014/main" id="{BC187471-B2FC-408E-A10A-46893BEF02D3}"/>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453</xdr:row>
      <xdr:rowOff>0</xdr:rowOff>
    </xdr:from>
    <xdr:ext cx="184731" cy="264560"/>
    <xdr:sp macro="" textlink="">
      <xdr:nvSpPr>
        <xdr:cNvPr id="455" name="CaixaDeTexto 454">
          <a:extLst>
            <a:ext uri="{FF2B5EF4-FFF2-40B4-BE49-F238E27FC236}">
              <a16:creationId xmlns:a16="http://schemas.microsoft.com/office/drawing/2014/main" id="{93041B8C-00DC-4E71-8DF8-0CCC1390F61A}"/>
            </a:ext>
          </a:extLst>
        </xdr:cNvPr>
        <xdr:cNvSpPr txBox="1"/>
      </xdr:nvSpPr>
      <xdr:spPr>
        <a:xfrm>
          <a:off x="5278967" y="90319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56" name="CaixaDeTexto 455">
          <a:extLst>
            <a:ext uri="{FF2B5EF4-FFF2-40B4-BE49-F238E27FC236}">
              <a16:creationId xmlns:a16="http://schemas.microsoft.com/office/drawing/2014/main" id="{391CF680-3203-47A4-987B-B5175460F194}"/>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453</xdr:row>
      <xdr:rowOff>0</xdr:rowOff>
    </xdr:from>
    <xdr:ext cx="184731" cy="264560"/>
    <xdr:sp macro="" textlink="">
      <xdr:nvSpPr>
        <xdr:cNvPr id="457" name="CaixaDeTexto 456">
          <a:extLst>
            <a:ext uri="{FF2B5EF4-FFF2-40B4-BE49-F238E27FC236}">
              <a16:creationId xmlns:a16="http://schemas.microsoft.com/office/drawing/2014/main" id="{2EB3C101-1D41-4043-9F53-969A4C910D9A}"/>
            </a:ext>
          </a:extLst>
        </xdr:cNvPr>
        <xdr:cNvSpPr txBox="1"/>
      </xdr:nvSpPr>
      <xdr:spPr>
        <a:xfrm>
          <a:off x="5278967" y="90319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58" name="CaixaDeTexto 457">
          <a:extLst>
            <a:ext uri="{FF2B5EF4-FFF2-40B4-BE49-F238E27FC236}">
              <a16:creationId xmlns:a16="http://schemas.microsoft.com/office/drawing/2014/main" id="{B9D50956-A1AE-4870-BAAC-B9AF48F39A84}"/>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59" name="CaixaDeTexto 458">
          <a:extLst>
            <a:ext uri="{FF2B5EF4-FFF2-40B4-BE49-F238E27FC236}">
              <a16:creationId xmlns:a16="http://schemas.microsoft.com/office/drawing/2014/main" id="{295F6E04-E040-4ED8-984C-421F519CF6AA}"/>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60" name="CaixaDeTexto 459">
          <a:extLst>
            <a:ext uri="{FF2B5EF4-FFF2-40B4-BE49-F238E27FC236}">
              <a16:creationId xmlns:a16="http://schemas.microsoft.com/office/drawing/2014/main" id="{341D190C-2336-4B54-BBBD-A37CBC353210}"/>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61" name="CaixaDeTexto 460">
          <a:extLst>
            <a:ext uri="{FF2B5EF4-FFF2-40B4-BE49-F238E27FC236}">
              <a16:creationId xmlns:a16="http://schemas.microsoft.com/office/drawing/2014/main" id="{FF82D59A-3C2A-4240-8292-654C1A666AB4}"/>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62" name="CaixaDeTexto 461">
          <a:extLst>
            <a:ext uri="{FF2B5EF4-FFF2-40B4-BE49-F238E27FC236}">
              <a16:creationId xmlns:a16="http://schemas.microsoft.com/office/drawing/2014/main" id="{93124313-E842-4492-A106-C8B82401824C}"/>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63" name="CaixaDeTexto 462">
          <a:extLst>
            <a:ext uri="{FF2B5EF4-FFF2-40B4-BE49-F238E27FC236}">
              <a16:creationId xmlns:a16="http://schemas.microsoft.com/office/drawing/2014/main" id="{134F4394-3BD5-4BCD-B008-846C3C660CA2}"/>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456</xdr:row>
      <xdr:rowOff>0</xdr:rowOff>
    </xdr:from>
    <xdr:ext cx="184731" cy="264560"/>
    <xdr:sp macro="" textlink="">
      <xdr:nvSpPr>
        <xdr:cNvPr id="464" name="CaixaDeTexto 463">
          <a:extLst>
            <a:ext uri="{FF2B5EF4-FFF2-40B4-BE49-F238E27FC236}">
              <a16:creationId xmlns:a16="http://schemas.microsoft.com/office/drawing/2014/main" id="{69743491-6BE4-4AF5-8612-C195AEDDCE33}"/>
            </a:ext>
          </a:extLst>
        </xdr:cNvPr>
        <xdr:cNvSpPr txBox="1"/>
      </xdr:nvSpPr>
      <xdr:spPr>
        <a:xfrm>
          <a:off x="5278967" y="9091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465" name="CaixaDeTexto 464">
          <a:extLst>
            <a:ext uri="{FF2B5EF4-FFF2-40B4-BE49-F238E27FC236}">
              <a16:creationId xmlns:a16="http://schemas.microsoft.com/office/drawing/2014/main" id="{182772B3-E8A7-42CD-A8EE-0E048C0310A1}"/>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455</xdr:row>
      <xdr:rowOff>0</xdr:rowOff>
    </xdr:from>
    <xdr:ext cx="184731" cy="264560"/>
    <xdr:sp macro="" textlink="">
      <xdr:nvSpPr>
        <xdr:cNvPr id="466" name="CaixaDeTexto 465">
          <a:extLst>
            <a:ext uri="{FF2B5EF4-FFF2-40B4-BE49-F238E27FC236}">
              <a16:creationId xmlns:a16="http://schemas.microsoft.com/office/drawing/2014/main" id="{9990C895-8BD1-4337-AD24-1D475FF1F41F}"/>
            </a:ext>
          </a:extLst>
        </xdr:cNvPr>
        <xdr:cNvSpPr txBox="1"/>
      </xdr:nvSpPr>
      <xdr:spPr>
        <a:xfrm>
          <a:off x="5278967" y="907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67" name="CaixaDeTexto 466">
          <a:extLst>
            <a:ext uri="{FF2B5EF4-FFF2-40B4-BE49-F238E27FC236}">
              <a16:creationId xmlns:a16="http://schemas.microsoft.com/office/drawing/2014/main" id="{08283F70-D9FF-40DE-BA12-6C585168659C}"/>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68" name="CaixaDeTexto 467">
          <a:extLst>
            <a:ext uri="{FF2B5EF4-FFF2-40B4-BE49-F238E27FC236}">
              <a16:creationId xmlns:a16="http://schemas.microsoft.com/office/drawing/2014/main" id="{6311E995-38BB-4E27-A7FD-4FBCD1C6CAD2}"/>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69" name="CaixaDeTexto 468">
          <a:extLst>
            <a:ext uri="{FF2B5EF4-FFF2-40B4-BE49-F238E27FC236}">
              <a16:creationId xmlns:a16="http://schemas.microsoft.com/office/drawing/2014/main" id="{8F94457E-A8A2-4310-82E4-C0AF7188C51F}"/>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0" name="CaixaDeTexto 469">
          <a:extLst>
            <a:ext uri="{FF2B5EF4-FFF2-40B4-BE49-F238E27FC236}">
              <a16:creationId xmlns:a16="http://schemas.microsoft.com/office/drawing/2014/main" id="{57876FCF-383A-4C4A-8168-011E9E6C0DCA}"/>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1" name="CaixaDeTexto 470">
          <a:extLst>
            <a:ext uri="{FF2B5EF4-FFF2-40B4-BE49-F238E27FC236}">
              <a16:creationId xmlns:a16="http://schemas.microsoft.com/office/drawing/2014/main" id="{308B6455-B20A-4F13-BE10-D4CF49467524}"/>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2" name="CaixaDeTexto 471">
          <a:extLst>
            <a:ext uri="{FF2B5EF4-FFF2-40B4-BE49-F238E27FC236}">
              <a16:creationId xmlns:a16="http://schemas.microsoft.com/office/drawing/2014/main" id="{9BEABF67-415E-41D1-8D1E-0D88D06466E3}"/>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3" name="CaixaDeTexto 472">
          <a:extLst>
            <a:ext uri="{FF2B5EF4-FFF2-40B4-BE49-F238E27FC236}">
              <a16:creationId xmlns:a16="http://schemas.microsoft.com/office/drawing/2014/main" id="{67653E75-DBDB-4394-9BA9-EC56764D561E}"/>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4" name="CaixaDeTexto 473">
          <a:extLst>
            <a:ext uri="{FF2B5EF4-FFF2-40B4-BE49-F238E27FC236}">
              <a16:creationId xmlns:a16="http://schemas.microsoft.com/office/drawing/2014/main" id="{46A61932-1398-415D-AA4D-49BC9970F6F5}"/>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5" name="CaixaDeTexto 474">
          <a:extLst>
            <a:ext uri="{FF2B5EF4-FFF2-40B4-BE49-F238E27FC236}">
              <a16:creationId xmlns:a16="http://schemas.microsoft.com/office/drawing/2014/main" id="{F956E292-406A-4A8B-90D3-FA7974A48447}"/>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6" name="CaixaDeTexto 475">
          <a:extLst>
            <a:ext uri="{FF2B5EF4-FFF2-40B4-BE49-F238E27FC236}">
              <a16:creationId xmlns:a16="http://schemas.microsoft.com/office/drawing/2014/main" id="{CEB21CC9-25E9-498F-8FFE-DE68AA4E58E1}"/>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7" name="CaixaDeTexto 476">
          <a:extLst>
            <a:ext uri="{FF2B5EF4-FFF2-40B4-BE49-F238E27FC236}">
              <a16:creationId xmlns:a16="http://schemas.microsoft.com/office/drawing/2014/main" id="{3C283CDC-F35C-4C12-9391-153F9B8AA541}"/>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478" name="CaixaDeTexto 477">
          <a:extLst>
            <a:ext uri="{FF2B5EF4-FFF2-40B4-BE49-F238E27FC236}">
              <a16:creationId xmlns:a16="http://schemas.microsoft.com/office/drawing/2014/main" id="{8D0183C1-9377-4634-AC10-1BEFFDFFAC2F}"/>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461</xdr:row>
      <xdr:rowOff>0</xdr:rowOff>
    </xdr:from>
    <xdr:ext cx="184731" cy="264560"/>
    <xdr:sp macro="" textlink="">
      <xdr:nvSpPr>
        <xdr:cNvPr id="479" name="CaixaDeTexto 478">
          <a:extLst>
            <a:ext uri="{FF2B5EF4-FFF2-40B4-BE49-F238E27FC236}">
              <a16:creationId xmlns:a16="http://schemas.microsoft.com/office/drawing/2014/main" id="{B1AD4D14-B405-458E-8F17-439B4DB78B13}"/>
            </a:ext>
          </a:extLst>
        </xdr:cNvPr>
        <xdr:cNvSpPr txBox="1"/>
      </xdr:nvSpPr>
      <xdr:spPr>
        <a:xfrm>
          <a:off x="5278967" y="918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0" name="CaixaDeTexto 479">
          <a:extLst>
            <a:ext uri="{FF2B5EF4-FFF2-40B4-BE49-F238E27FC236}">
              <a16:creationId xmlns:a16="http://schemas.microsoft.com/office/drawing/2014/main" id="{2547C114-2003-482A-BFFA-907DA1673C91}"/>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461</xdr:row>
      <xdr:rowOff>0</xdr:rowOff>
    </xdr:from>
    <xdr:ext cx="184731" cy="264560"/>
    <xdr:sp macro="" textlink="">
      <xdr:nvSpPr>
        <xdr:cNvPr id="481" name="CaixaDeTexto 480">
          <a:extLst>
            <a:ext uri="{FF2B5EF4-FFF2-40B4-BE49-F238E27FC236}">
              <a16:creationId xmlns:a16="http://schemas.microsoft.com/office/drawing/2014/main" id="{B26D33A5-77F4-4E51-8A8F-52C8E61F4684}"/>
            </a:ext>
          </a:extLst>
        </xdr:cNvPr>
        <xdr:cNvSpPr txBox="1"/>
      </xdr:nvSpPr>
      <xdr:spPr>
        <a:xfrm>
          <a:off x="5278967" y="918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2" name="CaixaDeTexto 481">
          <a:extLst>
            <a:ext uri="{FF2B5EF4-FFF2-40B4-BE49-F238E27FC236}">
              <a16:creationId xmlns:a16="http://schemas.microsoft.com/office/drawing/2014/main" id="{720A4D71-6273-4028-99F3-F2CAC0EA4D3C}"/>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3" name="CaixaDeTexto 482">
          <a:extLst>
            <a:ext uri="{FF2B5EF4-FFF2-40B4-BE49-F238E27FC236}">
              <a16:creationId xmlns:a16="http://schemas.microsoft.com/office/drawing/2014/main" id="{3522444E-9A9E-47D5-B634-EB6BC2229CC6}"/>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4" name="CaixaDeTexto 483">
          <a:extLst>
            <a:ext uri="{FF2B5EF4-FFF2-40B4-BE49-F238E27FC236}">
              <a16:creationId xmlns:a16="http://schemas.microsoft.com/office/drawing/2014/main" id="{D62D5A20-DF66-4090-A99B-33D159307F58}"/>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5" name="CaixaDeTexto 484">
          <a:extLst>
            <a:ext uri="{FF2B5EF4-FFF2-40B4-BE49-F238E27FC236}">
              <a16:creationId xmlns:a16="http://schemas.microsoft.com/office/drawing/2014/main" id="{807F66D3-8B86-4140-AE62-BDF446FB3481}"/>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6" name="CaixaDeTexto 485">
          <a:extLst>
            <a:ext uri="{FF2B5EF4-FFF2-40B4-BE49-F238E27FC236}">
              <a16:creationId xmlns:a16="http://schemas.microsoft.com/office/drawing/2014/main" id="{61EC483D-EDDD-44CC-87BA-D839B1E24540}"/>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7" name="CaixaDeTexto 486">
          <a:extLst>
            <a:ext uri="{FF2B5EF4-FFF2-40B4-BE49-F238E27FC236}">
              <a16:creationId xmlns:a16="http://schemas.microsoft.com/office/drawing/2014/main" id="{EFF49FC0-DA4E-469A-ADC5-DD4B918FD5A3}"/>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464</xdr:row>
      <xdr:rowOff>0</xdr:rowOff>
    </xdr:from>
    <xdr:ext cx="184731" cy="264560"/>
    <xdr:sp macro="" textlink="">
      <xdr:nvSpPr>
        <xdr:cNvPr id="488" name="CaixaDeTexto 487">
          <a:extLst>
            <a:ext uri="{FF2B5EF4-FFF2-40B4-BE49-F238E27FC236}">
              <a16:creationId xmlns:a16="http://schemas.microsoft.com/office/drawing/2014/main" id="{39183213-4F9D-4E82-AE23-AB2BD4A8CC49}"/>
            </a:ext>
          </a:extLst>
        </xdr:cNvPr>
        <xdr:cNvSpPr txBox="1"/>
      </xdr:nvSpPr>
      <xdr:spPr>
        <a:xfrm>
          <a:off x="5278967" y="9249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89" name="CaixaDeTexto 488">
          <a:extLst>
            <a:ext uri="{FF2B5EF4-FFF2-40B4-BE49-F238E27FC236}">
              <a16:creationId xmlns:a16="http://schemas.microsoft.com/office/drawing/2014/main" id="{9D73EE59-BDA5-4E04-8023-1CD8951101C2}"/>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463</xdr:row>
      <xdr:rowOff>0</xdr:rowOff>
    </xdr:from>
    <xdr:ext cx="184731" cy="264560"/>
    <xdr:sp macro="" textlink="">
      <xdr:nvSpPr>
        <xdr:cNvPr id="490" name="CaixaDeTexto 489">
          <a:extLst>
            <a:ext uri="{FF2B5EF4-FFF2-40B4-BE49-F238E27FC236}">
              <a16:creationId xmlns:a16="http://schemas.microsoft.com/office/drawing/2014/main" id="{5FF180A3-BC28-41FF-AF48-7D23AFD5E74A}"/>
            </a:ext>
          </a:extLst>
        </xdr:cNvPr>
        <xdr:cNvSpPr txBox="1"/>
      </xdr:nvSpPr>
      <xdr:spPr>
        <a:xfrm>
          <a:off x="5278967" y="92293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1" name="CaixaDeTexto 490">
          <a:extLst>
            <a:ext uri="{FF2B5EF4-FFF2-40B4-BE49-F238E27FC236}">
              <a16:creationId xmlns:a16="http://schemas.microsoft.com/office/drawing/2014/main" id="{ACF80BAD-3153-4BB8-8DAC-3BF93915AD1B}"/>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2" name="CaixaDeTexto 491">
          <a:extLst>
            <a:ext uri="{FF2B5EF4-FFF2-40B4-BE49-F238E27FC236}">
              <a16:creationId xmlns:a16="http://schemas.microsoft.com/office/drawing/2014/main" id="{5A8B26E9-D6AC-4AFB-83F0-C1C58E66DEBF}"/>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3" name="CaixaDeTexto 492">
          <a:extLst>
            <a:ext uri="{FF2B5EF4-FFF2-40B4-BE49-F238E27FC236}">
              <a16:creationId xmlns:a16="http://schemas.microsoft.com/office/drawing/2014/main" id="{AF4D91BC-459B-4DCD-8993-9F05D2FF9865}"/>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4" name="CaixaDeTexto 493">
          <a:extLst>
            <a:ext uri="{FF2B5EF4-FFF2-40B4-BE49-F238E27FC236}">
              <a16:creationId xmlns:a16="http://schemas.microsoft.com/office/drawing/2014/main" id="{E6A25DE3-D195-487D-9084-842D13122182}"/>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5" name="CaixaDeTexto 494">
          <a:extLst>
            <a:ext uri="{FF2B5EF4-FFF2-40B4-BE49-F238E27FC236}">
              <a16:creationId xmlns:a16="http://schemas.microsoft.com/office/drawing/2014/main" id="{7C65C97A-2E25-43EA-830B-4D28BFD34A4F}"/>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6" name="CaixaDeTexto 495">
          <a:extLst>
            <a:ext uri="{FF2B5EF4-FFF2-40B4-BE49-F238E27FC236}">
              <a16:creationId xmlns:a16="http://schemas.microsoft.com/office/drawing/2014/main" id="{C111F297-EF6D-47EA-9E84-50BE7BA4975E}"/>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7" name="CaixaDeTexto 496">
          <a:extLst>
            <a:ext uri="{FF2B5EF4-FFF2-40B4-BE49-F238E27FC236}">
              <a16:creationId xmlns:a16="http://schemas.microsoft.com/office/drawing/2014/main" id="{799CBDD6-4065-42E4-B07A-947AF6BB4502}"/>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498" name="CaixaDeTexto 497">
          <a:extLst>
            <a:ext uri="{FF2B5EF4-FFF2-40B4-BE49-F238E27FC236}">
              <a16:creationId xmlns:a16="http://schemas.microsoft.com/office/drawing/2014/main" id="{F9CA7BC8-84D1-48BB-9634-AA3DCC110B10}"/>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463</xdr:row>
      <xdr:rowOff>0</xdr:rowOff>
    </xdr:from>
    <xdr:ext cx="184731" cy="264560"/>
    <xdr:sp macro="" textlink="">
      <xdr:nvSpPr>
        <xdr:cNvPr id="499" name="CaixaDeTexto 498">
          <a:extLst>
            <a:ext uri="{FF2B5EF4-FFF2-40B4-BE49-F238E27FC236}">
              <a16:creationId xmlns:a16="http://schemas.microsoft.com/office/drawing/2014/main" id="{A4933604-8EFD-49ED-8092-B25D6BD5BB8A}"/>
            </a:ext>
          </a:extLst>
        </xdr:cNvPr>
        <xdr:cNvSpPr txBox="1"/>
      </xdr:nvSpPr>
      <xdr:spPr>
        <a:xfrm>
          <a:off x="5278967" y="92293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500" name="CaixaDeTexto 499">
          <a:extLst>
            <a:ext uri="{FF2B5EF4-FFF2-40B4-BE49-F238E27FC236}">
              <a16:creationId xmlns:a16="http://schemas.microsoft.com/office/drawing/2014/main" id="{DC7884DC-6C0A-4E4D-9052-C883AA9D6011}"/>
            </a:ext>
          </a:extLst>
        </xdr:cNvPr>
        <xdr:cNvSpPr txBox="1"/>
      </xdr:nvSpPr>
      <xdr:spPr>
        <a:xfrm>
          <a:off x="5278967" y="63581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348</xdr:row>
      <xdr:rowOff>0</xdr:rowOff>
    </xdr:from>
    <xdr:ext cx="184731" cy="264560"/>
    <xdr:sp macro="" textlink="">
      <xdr:nvSpPr>
        <xdr:cNvPr id="501" name="CaixaDeTexto 500">
          <a:extLst>
            <a:ext uri="{FF2B5EF4-FFF2-40B4-BE49-F238E27FC236}">
              <a16:creationId xmlns:a16="http://schemas.microsoft.com/office/drawing/2014/main" id="{6D6E8204-A9C5-446D-AA3E-A36C2C8AB7AE}"/>
            </a:ext>
          </a:extLst>
        </xdr:cNvPr>
        <xdr:cNvSpPr txBox="1"/>
      </xdr:nvSpPr>
      <xdr:spPr>
        <a:xfrm>
          <a:off x="5278967" y="68336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502" name="CaixaDeTexto 501">
          <a:extLst>
            <a:ext uri="{FF2B5EF4-FFF2-40B4-BE49-F238E27FC236}">
              <a16:creationId xmlns:a16="http://schemas.microsoft.com/office/drawing/2014/main" id="{885C7DD3-D2F5-4140-834C-3128789877B3}"/>
            </a:ext>
          </a:extLst>
        </xdr:cNvPr>
        <xdr:cNvSpPr txBox="1"/>
      </xdr:nvSpPr>
      <xdr:spPr>
        <a:xfrm>
          <a:off x="5278967"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503" name="CaixaDeTexto 502">
          <a:extLst>
            <a:ext uri="{FF2B5EF4-FFF2-40B4-BE49-F238E27FC236}">
              <a16:creationId xmlns:a16="http://schemas.microsoft.com/office/drawing/2014/main" id="{099C072C-09F9-4F81-993E-84A6CCF3BC58}"/>
            </a:ext>
          </a:extLst>
        </xdr:cNvPr>
        <xdr:cNvSpPr txBox="1"/>
      </xdr:nvSpPr>
      <xdr:spPr>
        <a:xfrm>
          <a:off x="5278967"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357</xdr:row>
      <xdr:rowOff>0</xdr:rowOff>
    </xdr:from>
    <xdr:ext cx="184731" cy="264560"/>
    <xdr:sp macro="" textlink="">
      <xdr:nvSpPr>
        <xdr:cNvPr id="504" name="CaixaDeTexto 503">
          <a:extLst>
            <a:ext uri="{FF2B5EF4-FFF2-40B4-BE49-F238E27FC236}">
              <a16:creationId xmlns:a16="http://schemas.microsoft.com/office/drawing/2014/main" id="{5BDAFA1E-A0C5-4E92-A12D-28D67873017D}"/>
            </a:ext>
          </a:extLst>
        </xdr:cNvPr>
        <xdr:cNvSpPr txBox="1"/>
      </xdr:nvSpPr>
      <xdr:spPr>
        <a:xfrm>
          <a:off x="5278967" y="7011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505" name="CaixaDeTexto 504">
          <a:extLst>
            <a:ext uri="{FF2B5EF4-FFF2-40B4-BE49-F238E27FC236}">
              <a16:creationId xmlns:a16="http://schemas.microsoft.com/office/drawing/2014/main" id="{31AB1A1C-5956-44DF-A7B7-47BF653FB964}"/>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506" name="CaixaDeTexto 505">
          <a:extLst>
            <a:ext uri="{FF2B5EF4-FFF2-40B4-BE49-F238E27FC236}">
              <a16:creationId xmlns:a16="http://schemas.microsoft.com/office/drawing/2014/main" id="{D16A57F4-E273-4B45-931A-8C592DE537CC}"/>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507" name="CaixaDeTexto 506">
          <a:extLst>
            <a:ext uri="{FF2B5EF4-FFF2-40B4-BE49-F238E27FC236}">
              <a16:creationId xmlns:a16="http://schemas.microsoft.com/office/drawing/2014/main" id="{15D65E21-9F91-4C99-B428-FCB1D67DDF9C}"/>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372</xdr:row>
      <xdr:rowOff>0</xdr:rowOff>
    </xdr:from>
    <xdr:ext cx="184731" cy="264560"/>
    <xdr:sp macro="" textlink="">
      <xdr:nvSpPr>
        <xdr:cNvPr id="508" name="CaixaDeTexto 507">
          <a:extLst>
            <a:ext uri="{FF2B5EF4-FFF2-40B4-BE49-F238E27FC236}">
              <a16:creationId xmlns:a16="http://schemas.microsoft.com/office/drawing/2014/main" id="{862463FE-2C93-4F90-83F3-7A5DD612BE0D}"/>
            </a:ext>
          </a:extLst>
        </xdr:cNvPr>
        <xdr:cNvSpPr txBox="1"/>
      </xdr:nvSpPr>
      <xdr:spPr>
        <a:xfrm>
          <a:off x="5278967" y="7328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509" name="CaixaDeTexto 508">
          <a:extLst>
            <a:ext uri="{FF2B5EF4-FFF2-40B4-BE49-F238E27FC236}">
              <a16:creationId xmlns:a16="http://schemas.microsoft.com/office/drawing/2014/main" id="{76886F5B-C719-4E0A-9823-17C8CDBE8A3D}"/>
            </a:ext>
          </a:extLst>
        </xdr:cNvPr>
        <xdr:cNvSpPr txBox="1"/>
      </xdr:nvSpPr>
      <xdr:spPr>
        <a:xfrm>
          <a:off x="5278967" y="7487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510" name="CaixaDeTexto 509">
          <a:extLst>
            <a:ext uri="{FF2B5EF4-FFF2-40B4-BE49-F238E27FC236}">
              <a16:creationId xmlns:a16="http://schemas.microsoft.com/office/drawing/2014/main" id="{CEC10CF0-244F-4495-A3D3-0FD70203E64A}"/>
            </a:ext>
          </a:extLst>
        </xdr:cNvPr>
        <xdr:cNvSpPr txBox="1"/>
      </xdr:nvSpPr>
      <xdr:spPr>
        <a:xfrm>
          <a:off x="5278967" y="7487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381</xdr:row>
      <xdr:rowOff>0</xdr:rowOff>
    </xdr:from>
    <xdr:ext cx="184731" cy="264560"/>
    <xdr:sp macro="" textlink="">
      <xdr:nvSpPr>
        <xdr:cNvPr id="511" name="CaixaDeTexto 510">
          <a:extLst>
            <a:ext uri="{FF2B5EF4-FFF2-40B4-BE49-F238E27FC236}">
              <a16:creationId xmlns:a16="http://schemas.microsoft.com/office/drawing/2014/main" id="{4BA6DB5D-3F46-4B07-8796-082319094DD0}"/>
            </a:ext>
          </a:extLst>
        </xdr:cNvPr>
        <xdr:cNvSpPr txBox="1"/>
      </xdr:nvSpPr>
      <xdr:spPr>
        <a:xfrm>
          <a:off x="5278967" y="7507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383</xdr:row>
      <xdr:rowOff>0</xdr:rowOff>
    </xdr:from>
    <xdr:ext cx="184731" cy="264560"/>
    <xdr:sp macro="" textlink="">
      <xdr:nvSpPr>
        <xdr:cNvPr id="512" name="CaixaDeTexto 511">
          <a:extLst>
            <a:ext uri="{FF2B5EF4-FFF2-40B4-BE49-F238E27FC236}">
              <a16:creationId xmlns:a16="http://schemas.microsoft.com/office/drawing/2014/main" id="{6FBE69B4-7E3C-4A2D-82B1-99E23366FE90}"/>
            </a:ext>
          </a:extLst>
        </xdr:cNvPr>
        <xdr:cNvSpPr txBox="1"/>
      </xdr:nvSpPr>
      <xdr:spPr>
        <a:xfrm>
          <a:off x="5278967" y="756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383</xdr:row>
      <xdr:rowOff>0</xdr:rowOff>
    </xdr:from>
    <xdr:ext cx="184731" cy="264560"/>
    <xdr:sp macro="" textlink="">
      <xdr:nvSpPr>
        <xdr:cNvPr id="513" name="CaixaDeTexto 512">
          <a:extLst>
            <a:ext uri="{FF2B5EF4-FFF2-40B4-BE49-F238E27FC236}">
              <a16:creationId xmlns:a16="http://schemas.microsoft.com/office/drawing/2014/main" id="{6541F179-C663-43B7-9B3A-071F9E6F1D47}"/>
            </a:ext>
          </a:extLst>
        </xdr:cNvPr>
        <xdr:cNvSpPr txBox="1"/>
      </xdr:nvSpPr>
      <xdr:spPr>
        <a:xfrm>
          <a:off x="5278967" y="7546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396</xdr:row>
      <xdr:rowOff>0</xdr:rowOff>
    </xdr:from>
    <xdr:ext cx="184731" cy="264560"/>
    <xdr:sp macro="" textlink="">
      <xdr:nvSpPr>
        <xdr:cNvPr id="514" name="CaixaDeTexto 513">
          <a:extLst>
            <a:ext uri="{FF2B5EF4-FFF2-40B4-BE49-F238E27FC236}">
              <a16:creationId xmlns:a16="http://schemas.microsoft.com/office/drawing/2014/main" id="{7659081B-5AB7-42A1-AFB5-D5C77F91FF19}"/>
            </a:ext>
          </a:extLst>
        </xdr:cNvPr>
        <xdr:cNvSpPr txBox="1"/>
      </xdr:nvSpPr>
      <xdr:spPr>
        <a:xfrm>
          <a:off x="5278967" y="7844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397</xdr:row>
      <xdr:rowOff>0</xdr:rowOff>
    </xdr:from>
    <xdr:ext cx="184731" cy="264560"/>
    <xdr:sp macro="" textlink="">
      <xdr:nvSpPr>
        <xdr:cNvPr id="515" name="CaixaDeTexto 514">
          <a:extLst>
            <a:ext uri="{FF2B5EF4-FFF2-40B4-BE49-F238E27FC236}">
              <a16:creationId xmlns:a16="http://schemas.microsoft.com/office/drawing/2014/main" id="{BFCF0B35-2C9E-4060-B4DA-2928A3DED97B}"/>
            </a:ext>
          </a:extLst>
        </xdr:cNvPr>
        <xdr:cNvSpPr txBox="1"/>
      </xdr:nvSpPr>
      <xdr:spPr>
        <a:xfrm>
          <a:off x="5278967" y="786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516" name="CaixaDeTexto 515">
          <a:extLst>
            <a:ext uri="{FF2B5EF4-FFF2-40B4-BE49-F238E27FC236}">
              <a16:creationId xmlns:a16="http://schemas.microsoft.com/office/drawing/2014/main" id="{77823100-A5A7-47E5-A2E7-2C3A977A81FF}"/>
            </a:ext>
          </a:extLst>
        </xdr:cNvPr>
        <xdr:cNvSpPr txBox="1"/>
      </xdr:nvSpPr>
      <xdr:spPr>
        <a:xfrm>
          <a:off x="5278967" y="80223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404</xdr:row>
      <xdr:rowOff>0</xdr:rowOff>
    </xdr:from>
    <xdr:ext cx="184731" cy="264560"/>
    <xdr:sp macro="" textlink="">
      <xdr:nvSpPr>
        <xdr:cNvPr id="517" name="CaixaDeTexto 516">
          <a:extLst>
            <a:ext uri="{FF2B5EF4-FFF2-40B4-BE49-F238E27FC236}">
              <a16:creationId xmlns:a16="http://schemas.microsoft.com/office/drawing/2014/main" id="{A41373EF-ABFB-424E-B757-33B803C979FA}"/>
            </a:ext>
          </a:extLst>
        </xdr:cNvPr>
        <xdr:cNvSpPr txBox="1"/>
      </xdr:nvSpPr>
      <xdr:spPr>
        <a:xfrm>
          <a:off x="5278967" y="80025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518" name="CaixaDeTexto 517">
          <a:extLst>
            <a:ext uri="{FF2B5EF4-FFF2-40B4-BE49-F238E27FC236}">
              <a16:creationId xmlns:a16="http://schemas.microsoft.com/office/drawing/2014/main" id="{6C78C6BF-D30A-4468-A6F3-029549272C40}"/>
            </a:ext>
          </a:extLst>
        </xdr:cNvPr>
        <xdr:cNvSpPr txBox="1"/>
      </xdr:nvSpPr>
      <xdr:spPr>
        <a:xfrm>
          <a:off x="5278967" y="80223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406</xdr:row>
      <xdr:rowOff>0</xdr:rowOff>
    </xdr:from>
    <xdr:ext cx="184731" cy="264560"/>
    <xdr:sp macro="" textlink="">
      <xdr:nvSpPr>
        <xdr:cNvPr id="519" name="CaixaDeTexto 518">
          <a:extLst>
            <a:ext uri="{FF2B5EF4-FFF2-40B4-BE49-F238E27FC236}">
              <a16:creationId xmlns:a16="http://schemas.microsoft.com/office/drawing/2014/main" id="{05CBC1D7-CC4F-407E-97D5-9A13197E9A78}"/>
            </a:ext>
          </a:extLst>
        </xdr:cNvPr>
        <xdr:cNvSpPr txBox="1"/>
      </xdr:nvSpPr>
      <xdr:spPr>
        <a:xfrm>
          <a:off x="5278967" y="8042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520" name="CaixaDeTexto 519">
          <a:extLst>
            <a:ext uri="{FF2B5EF4-FFF2-40B4-BE49-F238E27FC236}">
              <a16:creationId xmlns:a16="http://schemas.microsoft.com/office/drawing/2014/main" id="{E354E8C6-4A51-4C8E-8A4E-7A19C1D34359}"/>
            </a:ext>
          </a:extLst>
        </xdr:cNvPr>
        <xdr:cNvSpPr txBox="1"/>
      </xdr:nvSpPr>
      <xdr:spPr>
        <a:xfrm>
          <a:off x="5278967" y="8180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1" name="CaixaDeTexto 520">
          <a:extLst>
            <a:ext uri="{FF2B5EF4-FFF2-40B4-BE49-F238E27FC236}">
              <a16:creationId xmlns:a16="http://schemas.microsoft.com/office/drawing/2014/main" id="{44B9B07D-345A-4FA1-A698-8F148EDC6B31}"/>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522" name="CaixaDeTexto 521">
          <a:extLst>
            <a:ext uri="{FF2B5EF4-FFF2-40B4-BE49-F238E27FC236}">
              <a16:creationId xmlns:a16="http://schemas.microsoft.com/office/drawing/2014/main" id="{D95F4FF7-535E-47C7-9DA5-53DD29110F84}"/>
            </a:ext>
          </a:extLst>
        </xdr:cNvPr>
        <xdr:cNvSpPr txBox="1"/>
      </xdr:nvSpPr>
      <xdr:spPr>
        <a:xfrm>
          <a:off x="5278967" y="8180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3" name="CaixaDeTexto 522">
          <a:extLst>
            <a:ext uri="{FF2B5EF4-FFF2-40B4-BE49-F238E27FC236}">
              <a16:creationId xmlns:a16="http://schemas.microsoft.com/office/drawing/2014/main" id="{B3E0516F-F88C-4FD6-9391-EA0DE4965C99}"/>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4" name="CaixaDeTexto 523">
          <a:extLst>
            <a:ext uri="{FF2B5EF4-FFF2-40B4-BE49-F238E27FC236}">
              <a16:creationId xmlns:a16="http://schemas.microsoft.com/office/drawing/2014/main" id="{699E6512-3DA2-4868-8172-5DA4E9DA0C2C}"/>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5" name="CaixaDeTexto 524">
          <a:extLst>
            <a:ext uri="{FF2B5EF4-FFF2-40B4-BE49-F238E27FC236}">
              <a16:creationId xmlns:a16="http://schemas.microsoft.com/office/drawing/2014/main" id="{79CA4FF7-0F6D-4D26-8F2E-10D60DBD93BF}"/>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6" name="CaixaDeTexto 525">
          <a:extLst>
            <a:ext uri="{FF2B5EF4-FFF2-40B4-BE49-F238E27FC236}">
              <a16:creationId xmlns:a16="http://schemas.microsoft.com/office/drawing/2014/main" id="{D2A3BA5C-5B28-452F-9BD9-59F023E188E2}"/>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7" name="CaixaDeTexto 526">
          <a:extLst>
            <a:ext uri="{FF2B5EF4-FFF2-40B4-BE49-F238E27FC236}">
              <a16:creationId xmlns:a16="http://schemas.microsoft.com/office/drawing/2014/main" id="{DBB4CF79-EE2A-4DFA-9A12-47EACCC7766A}"/>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28" name="CaixaDeTexto 527">
          <a:extLst>
            <a:ext uri="{FF2B5EF4-FFF2-40B4-BE49-F238E27FC236}">
              <a16:creationId xmlns:a16="http://schemas.microsoft.com/office/drawing/2014/main" id="{40E0BED7-C5D5-4FBD-86C0-38B9EC51B1EF}"/>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415</xdr:row>
      <xdr:rowOff>0</xdr:rowOff>
    </xdr:from>
    <xdr:ext cx="184731" cy="264560"/>
    <xdr:sp macro="" textlink="">
      <xdr:nvSpPr>
        <xdr:cNvPr id="529" name="CaixaDeTexto 528">
          <a:extLst>
            <a:ext uri="{FF2B5EF4-FFF2-40B4-BE49-F238E27FC236}">
              <a16:creationId xmlns:a16="http://schemas.microsoft.com/office/drawing/2014/main" id="{0CF1B39E-9EB3-46C8-ABE6-1997B2F75603}"/>
            </a:ext>
          </a:extLst>
        </xdr:cNvPr>
        <xdr:cNvSpPr txBox="1"/>
      </xdr:nvSpPr>
      <xdr:spPr>
        <a:xfrm>
          <a:off x="5278967" y="82402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530" name="CaixaDeTexto 529">
          <a:extLst>
            <a:ext uri="{FF2B5EF4-FFF2-40B4-BE49-F238E27FC236}">
              <a16:creationId xmlns:a16="http://schemas.microsoft.com/office/drawing/2014/main" id="{5B2A4983-BB9F-4837-8F00-4CCBE742DAB3}"/>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415</xdr:row>
      <xdr:rowOff>0</xdr:rowOff>
    </xdr:from>
    <xdr:ext cx="184731" cy="264560"/>
    <xdr:sp macro="" textlink="">
      <xdr:nvSpPr>
        <xdr:cNvPr id="531" name="CaixaDeTexto 530">
          <a:extLst>
            <a:ext uri="{FF2B5EF4-FFF2-40B4-BE49-F238E27FC236}">
              <a16:creationId xmlns:a16="http://schemas.microsoft.com/office/drawing/2014/main" id="{BECC728B-128E-42C0-B079-4F866C915471}"/>
            </a:ext>
          </a:extLst>
        </xdr:cNvPr>
        <xdr:cNvSpPr txBox="1"/>
      </xdr:nvSpPr>
      <xdr:spPr>
        <a:xfrm>
          <a:off x="5278967" y="8220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532" name="CaixaDeTexto 531">
          <a:extLst>
            <a:ext uri="{FF2B5EF4-FFF2-40B4-BE49-F238E27FC236}">
              <a16:creationId xmlns:a16="http://schemas.microsoft.com/office/drawing/2014/main" id="{28A50573-734E-4DF4-BB71-3B40B29A9325}"/>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533" name="CaixaDeTexto 532">
          <a:extLst>
            <a:ext uri="{FF2B5EF4-FFF2-40B4-BE49-F238E27FC236}">
              <a16:creationId xmlns:a16="http://schemas.microsoft.com/office/drawing/2014/main" id="{C4E343F4-9BF8-49E7-99B3-07AC1EE592AA}"/>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534" name="CaixaDeTexto 533">
          <a:extLst>
            <a:ext uri="{FF2B5EF4-FFF2-40B4-BE49-F238E27FC236}">
              <a16:creationId xmlns:a16="http://schemas.microsoft.com/office/drawing/2014/main" id="{FAD7B114-308F-4FC8-B475-9554A9881BA1}"/>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535" name="CaixaDeTexto 534">
          <a:extLst>
            <a:ext uri="{FF2B5EF4-FFF2-40B4-BE49-F238E27FC236}">
              <a16:creationId xmlns:a16="http://schemas.microsoft.com/office/drawing/2014/main" id="{48729CAE-08C9-43B7-9399-BA27CB5A7D27}"/>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423</xdr:row>
      <xdr:rowOff>0</xdr:rowOff>
    </xdr:from>
    <xdr:ext cx="184731" cy="264560"/>
    <xdr:sp macro="" textlink="">
      <xdr:nvSpPr>
        <xdr:cNvPr id="536" name="CaixaDeTexto 535">
          <a:extLst>
            <a:ext uri="{FF2B5EF4-FFF2-40B4-BE49-F238E27FC236}">
              <a16:creationId xmlns:a16="http://schemas.microsoft.com/office/drawing/2014/main" id="{D33FB736-B0A0-43FD-AFBE-EAC60C2B5D2F}"/>
            </a:ext>
          </a:extLst>
        </xdr:cNvPr>
        <xdr:cNvSpPr txBox="1"/>
      </xdr:nvSpPr>
      <xdr:spPr>
        <a:xfrm>
          <a:off x="5278967" y="83987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537" name="CaixaDeTexto 536">
          <a:extLst>
            <a:ext uri="{FF2B5EF4-FFF2-40B4-BE49-F238E27FC236}">
              <a16:creationId xmlns:a16="http://schemas.microsoft.com/office/drawing/2014/main" id="{637237F4-D7B7-4296-AFAE-6419136A454D}"/>
            </a:ext>
          </a:extLst>
        </xdr:cNvPr>
        <xdr:cNvSpPr txBox="1"/>
      </xdr:nvSpPr>
      <xdr:spPr>
        <a:xfrm>
          <a:off x="5278967" y="6199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538" name="CaixaDeTexto 537">
          <a:extLst>
            <a:ext uri="{FF2B5EF4-FFF2-40B4-BE49-F238E27FC236}">
              <a16:creationId xmlns:a16="http://schemas.microsoft.com/office/drawing/2014/main" id="{A35BC835-724B-499D-B57C-822C45AE1B51}"/>
            </a:ext>
          </a:extLst>
        </xdr:cNvPr>
        <xdr:cNvSpPr txBox="1"/>
      </xdr:nvSpPr>
      <xdr:spPr>
        <a:xfrm>
          <a:off x="5278967" y="6199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539" name="CaixaDeTexto 538">
          <a:extLst>
            <a:ext uri="{FF2B5EF4-FFF2-40B4-BE49-F238E27FC236}">
              <a16:creationId xmlns:a16="http://schemas.microsoft.com/office/drawing/2014/main" id="{175533F8-0781-4B24-B64D-72157C0D300F}"/>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540" name="CaixaDeTexto 539">
          <a:extLst>
            <a:ext uri="{FF2B5EF4-FFF2-40B4-BE49-F238E27FC236}">
              <a16:creationId xmlns:a16="http://schemas.microsoft.com/office/drawing/2014/main" id="{5CC75AE6-A0AE-4088-BAC6-9BEEC2422C91}"/>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541" name="CaixaDeTexto 540">
          <a:extLst>
            <a:ext uri="{FF2B5EF4-FFF2-40B4-BE49-F238E27FC236}">
              <a16:creationId xmlns:a16="http://schemas.microsoft.com/office/drawing/2014/main" id="{67F56F06-B32E-4D64-8DA9-7498134F988D}"/>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542" name="CaixaDeTexto 541">
          <a:extLst>
            <a:ext uri="{FF2B5EF4-FFF2-40B4-BE49-F238E27FC236}">
              <a16:creationId xmlns:a16="http://schemas.microsoft.com/office/drawing/2014/main" id="{6A76DDC5-EA19-49D7-A083-E1966050C2A8}"/>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543" name="CaixaDeTexto 542">
          <a:extLst>
            <a:ext uri="{FF2B5EF4-FFF2-40B4-BE49-F238E27FC236}">
              <a16:creationId xmlns:a16="http://schemas.microsoft.com/office/drawing/2014/main" id="{377A3279-AB6A-4D9D-B3F0-420181D5F3F1}"/>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544" name="CaixaDeTexto 543">
          <a:extLst>
            <a:ext uri="{FF2B5EF4-FFF2-40B4-BE49-F238E27FC236}">
              <a16:creationId xmlns:a16="http://schemas.microsoft.com/office/drawing/2014/main" id="{3802C1C3-FFF5-4EE5-A3E6-3A794D0551FF}"/>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545" name="CaixaDeTexto 544">
          <a:extLst>
            <a:ext uri="{FF2B5EF4-FFF2-40B4-BE49-F238E27FC236}">
              <a16:creationId xmlns:a16="http://schemas.microsoft.com/office/drawing/2014/main" id="{4F85D6E5-DCD3-4FED-A5F6-0234ADAD1103}"/>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46" name="CaixaDeTexto 545">
          <a:extLst>
            <a:ext uri="{FF2B5EF4-FFF2-40B4-BE49-F238E27FC236}">
              <a16:creationId xmlns:a16="http://schemas.microsoft.com/office/drawing/2014/main" id="{21075D9F-E3A9-4DC5-AAB6-DA6F2AF379D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47" name="CaixaDeTexto 546">
          <a:extLst>
            <a:ext uri="{FF2B5EF4-FFF2-40B4-BE49-F238E27FC236}">
              <a16:creationId xmlns:a16="http://schemas.microsoft.com/office/drawing/2014/main" id="{59EA6B49-1595-4FF4-97A2-9BF80A9B5B54}"/>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48" name="CaixaDeTexto 547">
          <a:extLst>
            <a:ext uri="{FF2B5EF4-FFF2-40B4-BE49-F238E27FC236}">
              <a16:creationId xmlns:a16="http://schemas.microsoft.com/office/drawing/2014/main" id="{64B5C341-5CAC-4C52-AC19-A449913D9A5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49" name="CaixaDeTexto 548">
          <a:extLst>
            <a:ext uri="{FF2B5EF4-FFF2-40B4-BE49-F238E27FC236}">
              <a16:creationId xmlns:a16="http://schemas.microsoft.com/office/drawing/2014/main" id="{CCE9D81A-A8F9-41C6-8361-1B19F9279FC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0" name="CaixaDeTexto 549">
          <a:extLst>
            <a:ext uri="{FF2B5EF4-FFF2-40B4-BE49-F238E27FC236}">
              <a16:creationId xmlns:a16="http://schemas.microsoft.com/office/drawing/2014/main" id="{F478F858-EA73-4C60-8E9B-CAC09BA6B375}"/>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1" name="CaixaDeTexto 550">
          <a:extLst>
            <a:ext uri="{FF2B5EF4-FFF2-40B4-BE49-F238E27FC236}">
              <a16:creationId xmlns:a16="http://schemas.microsoft.com/office/drawing/2014/main" id="{A5C7C287-BC91-45B6-91C6-32AA268BF5F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2" name="CaixaDeTexto 551">
          <a:extLst>
            <a:ext uri="{FF2B5EF4-FFF2-40B4-BE49-F238E27FC236}">
              <a16:creationId xmlns:a16="http://schemas.microsoft.com/office/drawing/2014/main" id="{E7F964F4-DEE5-416B-8CA0-107D22F0CD6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3" name="CaixaDeTexto 552">
          <a:extLst>
            <a:ext uri="{FF2B5EF4-FFF2-40B4-BE49-F238E27FC236}">
              <a16:creationId xmlns:a16="http://schemas.microsoft.com/office/drawing/2014/main" id="{33356B81-55DB-4036-A231-2EB0F2214B9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4" name="CaixaDeTexto 553">
          <a:extLst>
            <a:ext uri="{FF2B5EF4-FFF2-40B4-BE49-F238E27FC236}">
              <a16:creationId xmlns:a16="http://schemas.microsoft.com/office/drawing/2014/main" id="{8A0C40BA-7CA4-49AE-86F2-BEEBF65F69D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5" name="CaixaDeTexto 554">
          <a:extLst>
            <a:ext uri="{FF2B5EF4-FFF2-40B4-BE49-F238E27FC236}">
              <a16:creationId xmlns:a16="http://schemas.microsoft.com/office/drawing/2014/main" id="{882CCB94-1519-43C8-B005-3148947ADC7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6" name="CaixaDeTexto 555">
          <a:extLst>
            <a:ext uri="{FF2B5EF4-FFF2-40B4-BE49-F238E27FC236}">
              <a16:creationId xmlns:a16="http://schemas.microsoft.com/office/drawing/2014/main" id="{94ED6237-6533-4FD1-9FEC-04A529AB3549}"/>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7" name="CaixaDeTexto 556">
          <a:extLst>
            <a:ext uri="{FF2B5EF4-FFF2-40B4-BE49-F238E27FC236}">
              <a16:creationId xmlns:a16="http://schemas.microsoft.com/office/drawing/2014/main" id="{3B23CA20-D0AD-4EA1-94EE-605046CEB36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8" name="CaixaDeTexto 557">
          <a:extLst>
            <a:ext uri="{FF2B5EF4-FFF2-40B4-BE49-F238E27FC236}">
              <a16:creationId xmlns:a16="http://schemas.microsoft.com/office/drawing/2014/main" id="{6D702E34-F4C3-494D-B6F7-9C7500414689}"/>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59" name="CaixaDeTexto 558">
          <a:extLst>
            <a:ext uri="{FF2B5EF4-FFF2-40B4-BE49-F238E27FC236}">
              <a16:creationId xmlns:a16="http://schemas.microsoft.com/office/drawing/2014/main" id="{5F36B211-6245-47C1-87CC-62D8CFBF626A}"/>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0" name="CaixaDeTexto 559">
          <a:extLst>
            <a:ext uri="{FF2B5EF4-FFF2-40B4-BE49-F238E27FC236}">
              <a16:creationId xmlns:a16="http://schemas.microsoft.com/office/drawing/2014/main" id="{31A14089-1204-45DE-96BA-19089C41DFE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1" name="CaixaDeTexto 560">
          <a:extLst>
            <a:ext uri="{FF2B5EF4-FFF2-40B4-BE49-F238E27FC236}">
              <a16:creationId xmlns:a16="http://schemas.microsoft.com/office/drawing/2014/main" id="{0248ED26-643D-4519-8F96-CB87156A1C3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2" name="CaixaDeTexto 561">
          <a:extLst>
            <a:ext uri="{FF2B5EF4-FFF2-40B4-BE49-F238E27FC236}">
              <a16:creationId xmlns:a16="http://schemas.microsoft.com/office/drawing/2014/main" id="{6F776F65-0A02-4EC2-991F-FAC88737260B}"/>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3" name="CaixaDeTexto 562">
          <a:extLst>
            <a:ext uri="{FF2B5EF4-FFF2-40B4-BE49-F238E27FC236}">
              <a16:creationId xmlns:a16="http://schemas.microsoft.com/office/drawing/2014/main" id="{08880A5A-F5A9-4E3D-A0E2-EE4FA673C68F}"/>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4" name="CaixaDeTexto 563">
          <a:extLst>
            <a:ext uri="{FF2B5EF4-FFF2-40B4-BE49-F238E27FC236}">
              <a16:creationId xmlns:a16="http://schemas.microsoft.com/office/drawing/2014/main" id="{937D30B2-DFDF-4AC1-BF33-25825E456DEB}"/>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5" name="CaixaDeTexto 564">
          <a:extLst>
            <a:ext uri="{FF2B5EF4-FFF2-40B4-BE49-F238E27FC236}">
              <a16:creationId xmlns:a16="http://schemas.microsoft.com/office/drawing/2014/main" id="{C4BB798D-39D3-4DD3-A372-8EC6213968A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6" name="CaixaDeTexto 565">
          <a:extLst>
            <a:ext uri="{FF2B5EF4-FFF2-40B4-BE49-F238E27FC236}">
              <a16:creationId xmlns:a16="http://schemas.microsoft.com/office/drawing/2014/main" id="{272BD5C8-B9BC-4016-8BF2-D8958F15D47B}"/>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7" name="CaixaDeTexto 566">
          <a:extLst>
            <a:ext uri="{FF2B5EF4-FFF2-40B4-BE49-F238E27FC236}">
              <a16:creationId xmlns:a16="http://schemas.microsoft.com/office/drawing/2014/main" id="{2DE72953-007F-4E90-B972-7E7FF49D2B94}"/>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8" name="CaixaDeTexto 567">
          <a:extLst>
            <a:ext uri="{FF2B5EF4-FFF2-40B4-BE49-F238E27FC236}">
              <a16:creationId xmlns:a16="http://schemas.microsoft.com/office/drawing/2014/main" id="{C4ED7F7D-1B51-4F5B-9263-1D9867CF4A05}"/>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69" name="CaixaDeTexto 568">
          <a:extLst>
            <a:ext uri="{FF2B5EF4-FFF2-40B4-BE49-F238E27FC236}">
              <a16:creationId xmlns:a16="http://schemas.microsoft.com/office/drawing/2014/main" id="{7E108CE6-703B-4175-9863-B046420F37BA}"/>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0" name="CaixaDeTexto 569">
          <a:extLst>
            <a:ext uri="{FF2B5EF4-FFF2-40B4-BE49-F238E27FC236}">
              <a16:creationId xmlns:a16="http://schemas.microsoft.com/office/drawing/2014/main" id="{8D8E821C-69D3-4F8D-8330-60CB0FA5AF74}"/>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1" name="CaixaDeTexto 570">
          <a:extLst>
            <a:ext uri="{FF2B5EF4-FFF2-40B4-BE49-F238E27FC236}">
              <a16:creationId xmlns:a16="http://schemas.microsoft.com/office/drawing/2014/main" id="{86A8D8A7-B6C9-4E17-BEF8-14750235CAC2}"/>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2" name="CaixaDeTexto 571">
          <a:extLst>
            <a:ext uri="{FF2B5EF4-FFF2-40B4-BE49-F238E27FC236}">
              <a16:creationId xmlns:a16="http://schemas.microsoft.com/office/drawing/2014/main" id="{824BA5BF-CC5C-4C92-B18D-A9186A3B29F3}"/>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3" name="CaixaDeTexto 572">
          <a:extLst>
            <a:ext uri="{FF2B5EF4-FFF2-40B4-BE49-F238E27FC236}">
              <a16:creationId xmlns:a16="http://schemas.microsoft.com/office/drawing/2014/main" id="{1EBC2654-E69E-48F3-8ADA-ABE39A9C4E5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4" name="CaixaDeTexto 573">
          <a:extLst>
            <a:ext uri="{FF2B5EF4-FFF2-40B4-BE49-F238E27FC236}">
              <a16:creationId xmlns:a16="http://schemas.microsoft.com/office/drawing/2014/main" id="{324EF2D4-E64B-4966-9FFB-A0571945C18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5" name="CaixaDeTexto 574">
          <a:extLst>
            <a:ext uri="{FF2B5EF4-FFF2-40B4-BE49-F238E27FC236}">
              <a16:creationId xmlns:a16="http://schemas.microsoft.com/office/drawing/2014/main" id="{0EC15E34-FB8D-4345-B295-7E6D479FC17F}"/>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6" name="CaixaDeTexto 575">
          <a:extLst>
            <a:ext uri="{FF2B5EF4-FFF2-40B4-BE49-F238E27FC236}">
              <a16:creationId xmlns:a16="http://schemas.microsoft.com/office/drawing/2014/main" id="{977B4B77-44C3-47BD-8152-00B600687E99}"/>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7" name="CaixaDeTexto 576">
          <a:extLst>
            <a:ext uri="{FF2B5EF4-FFF2-40B4-BE49-F238E27FC236}">
              <a16:creationId xmlns:a16="http://schemas.microsoft.com/office/drawing/2014/main" id="{713F238F-6A78-4BD8-83E3-0DC4FEB850F7}"/>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8" name="CaixaDeTexto 577">
          <a:extLst>
            <a:ext uri="{FF2B5EF4-FFF2-40B4-BE49-F238E27FC236}">
              <a16:creationId xmlns:a16="http://schemas.microsoft.com/office/drawing/2014/main" id="{9D12C1BD-925F-4E09-9C4C-55652623A537}"/>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79" name="CaixaDeTexto 578">
          <a:extLst>
            <a:ext uri="{FF2B5EF4-FFF2-40B4-BE49-F238E27FC236}">
              <a16:creationId xmlns:a16="http://schemas.microsoft.com/office/drawing/2014/main" id="{6BA38445-5438-45A8-A527-FAAE7BE5CFD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0" name="CaixaDeTexto 579">
          <a:extLst>
            <a:ext uri="{FF2B5EF4-FFF2-40B4-BE49-F238E27FC236}">
              <a16:creationId xmlns:a16="http://schemas.microsoft.com/office/drawing/2014/main" id="{39D3E843-9F13-4DDA-838E-471378AE238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1" name="CaixaDeTexto 580">
          <a:extLst>
            <a:ext uri="{FF2B5EF4-FFF2-40B4-BE49-F238E27FC236}">
              <a16:creationId xmlns:a16="http://schemas.microsoft.com/office/drawing/2014/main" id="{EEE0ACC8-390F-4250-8068-F6CC3AF30C9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2" name="CaixaDeTexto 581">
          <a:extLst>
            <a:ext uri="{FF2B5EF4-FFF2-40B4-BE49-F238E27FC236}">
              <a16:creationId xmlns:a16="http://schemas.microsoft.com/office/drawing/2014/main" id="{734EBF18-F54A-42B1-94AA-DC7A000A0CDF}"/>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3" name="CaixaDeTexto 582">
          <a:extLst>
            <a:ext uri="{FF2B5EF4-FFF2-40B4-BE49-F238E27FC236}">
              <a16:creationId xmlns:a16="http://schemas.microsoft.com/office/drawing/2014/main" id="{06AA3181-F6DB-4895-8A00-1B1C1FFCE8F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4" name="CaixaDeTexto 583">
          <a:extLst>
            <a:ext uri="{FF2B5EF4-FFF2-40B4-BE49-F238E27FC236}">
              <a16:creationId xmlns:a16="http://schemas.microsoft.com/office/drawing/2014/main" id="{EC4E8839-F207-4687-BD74-7C6DF41A353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5" name="CaixaDeTexto 584">
          <a:extLst>
            <a:ext uri="{FF2B5EF4-FFF2-40B4-BE49-F238E27FC236}">
              <a16:creationId xmlns:a16="http://schemas.microsoft.com/office/drawing/2014/main" id="{CB166248-B9AA-4EE8-9A74-4B4E5C3FCDBE}"/>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6" name="CaixaDeTexto 585">
          <a:extLst>
            <a:ext uri="{FF2B5EF4-FFF2-40B4-BE49-F238E27FC236}">
              <a16:creationId xmlns:a16="http://schemas.microsoft.com/office/drawing/2014/main" id="{6A0AD324-ECAD-4582-BCD8-577F510C9EDE}"/>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7" name="CaixaDeTexto 586">
          <a:extLst>
            <a:ext uri="{FF2B5EF4-FFF2-40B4-BE49-F238E27FC236}">
              <a16:creationId xmlns:a16="http://schemas.microsoft.com/office/drawing/2014/main" id="{58AFD879-3DA9-4F1F-B7E6-BFE40F9686E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8" name="CaixaDeTexto 587">
          <a:extLst>
            <a:ext uri="{FF2B5EF4-FFF2-40B4-BE49-F238E27FC236}">
              <a16:creationId xmlns:a16="http://schemas.microsoft.com/office/drawing/2014/main" id="{5AD31C25-720B-4123-BFC1-D6F6C082215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89" name="CaixaDeTexto 588">
          <a:extLst>
            <a:ext uri="{FF2B5EF4-FFF2-40B4-BE49-F238E27FC236}">
              <a16:creationId xmlns:a16="http://schemas.microsoft.com/office/drawing/2014/main" id="{A1696AAB-0019-49D0-8124-C9EFF78B184A}"/>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590" name="CaixaDeTexto 589">
          <a:extLst>
            <a:ext uri="{FF2B5EF4-FFF2-40B4-BE49-F238E27FC236}">
              <a16:creationId xmlns:a16="http://schemas.microsoft.com/office/drawing/2014/main" id="{BC3B7170-8A70-49D7-B96D-DA9DCAF75B9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591" name="CaixaDeTexto 590">
          <a:extLst>
            <a:ext uri="{FF2B5EF4-FFF2-40B4-BE49-F238E27FC236}">
              <a16:creationId xmlns:a16="http://schemas.microsoft.com/office/drawing/2014/main" id="{DC3CA9F7-9B66-45E8-8495-7DF2409D4A88}"/>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2" name="CaixaDeTexto 591">
          <a:extLst>
            <a:ext uri="{FF2B5EF4-FFF2-40B4-BE49-F238E27FC236}">
              <a16:creationId xmlns:a16="http://schemas.microsoft.com/office/drawing/2014/main" id="{BFA1BA92-D819-4FB2-8B1A-2E4FBE892C51}"/>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593" name="CaixaDeTexto 592">
          <a:extLst>
            <a:ext uri="{FF2B5EF4-FFF2-40B4-BE49-F238E27FC236}">
              <a16:creationId xmlns:a16="http://schemas.microsoft.com/office/drawing/2014/main" id="{D0578A95-A9AF-482D-9EAD-442FE4AE48E5}"/>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4" name="CaixaDeTexto 593">
          <a:extLst>
            <a:ext uri="{FF2B5EF4-FFF2-40B4-BE49-F238E27FC236}">
              <a16:creationId xmlns:a16="http://schemas.microsoft.com/office/drawing/2014/main" id="{68BE2F96-2712-41F5-9D62-C960BA9373AB}"/>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5" name="CaixaDeTexto 594">
          <a:extLst>
            <a:ext uri="{FF2B5EF4-FFF2-40B4-BE49-F238E27FC236}">
              <a16:creationId xmlns:a16="http://schemas.microsoft.com/office/drawing/2014/main" id="{FDE93A0B-7E8A-42BF-B638-D0D4462AB366}"/>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6" name="CaixaDeTexto 595">
          <a:extLst>
            <a:ext uri="{FF2B5EF4-FFF2-40B4-BE49-F238E27FC236}">
              <a16:creationId xmlns:a16="http://schemas.microsoft.com/office/drawing/2014/main" id="{5CE63831-3E6B-4A87-AE2F-E20FF1464AB5}"/>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7" name="CaixaDeTexto 596">
          <a:extLst>
            <a:ext uri="{FF2B5EF4-FFF2-40B4-BE49-F238E27FC236}">
              <a16:creationId xmlns:a16="http://schemas.microsoft.com/office/drawing/2014/main" id="{171BDEDE-2052-40A6-AD32-EF625CE6FDA5}"/>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8" name="CaixaDeTexto 597">
          <a:extLst>
            <a:ext uri="{FF2B5EF4-FFF2-40B4-BE49-F238E27FC236}">
              <a16:creationId xmlns:a16="http://schemas.microsoft.com/office/drawing/2014/main" id="{9882AAF6-2BE4-4B2F-9051-87266489BDDD}"/>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599" name="CaixaDeTexto 598">
          <a:extLst>
            <a:ext uri="{FF2B5EF4-FFF2-40B4-BE49-F238E27FC236}">
              <a16:creationId xmlns:a16="http://schemas.microsoft.com/office/drawing/2014/main" id="{2CCA9568-5679-40FB-A575-AD81A2EDE254}"/>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472</xdr:row>
      <xdr:rowOff>0</xdr:rowOff>
    </xdr:from>
    <xdr:ext cx="184731" cy="264560"/>
    <xdr:sp macro="" textlink="">
      <xdr:nvSpPr>
        <xdr:cNvPr id="600" name="CaixaDeTexto 599">
          <a:extLst>
            <a:ext uri="{FF2B5EF4-FFF2-40B4-BE49-F238E27FC236}">
              <a16:creationId xmlns:a16="http://schemas.microsoft.com/office/drawing/2014/main" id="{7A752FF1-D6AC-42AD-93AF-DF791396C94E}"/>
            </a:ext>
          </a:extLst>
        </xdr:cNvPr>
        <xdr:cNvSpPr txBox="1"/>
      </xdr:nvSpPr>
      <xdr:spPr>
        <a:xfrm>
          <a:off x="5278967" y="9406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1" name="CaixaDeTexto 600">
          <a:extLst>
            <a:ext uri="{FF2B5EF4-FFF2-40B4-BE49-F238E27FC236}">
              <a16:creationId xmlns:a16="http://schemas.microsoft.com/office/drawing/2014/main" id="{A28B0A9C-6360-42D2-B100-CB2670ACACEA}"/>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471</xdr:row>
      <xdr:rowOff>0</xdr:rowOff>
    </xdr:from>
    <xdr:ext cx="184731" cy="264560"/>
    <xdr:sp macro="" textlink="">
      <xdr:nvSpPr>
        <xdr:cNvPr id="602" name="CaixaDeTexto 601">
          <a:extLst>
            <a:ext uri="{FF2B5EF4-FFF2-40B4-BE49-F238E27FC236}">
              <a16:creationId xmlns:a16="http://schemas.microsoft.com/office/drawing/2014/main" id="{BA202C14-8790-49AC-BA3F-1EE54BD3FA32}"/>
            </a:ext>
          </a:extLst>
        </xdr:cNvPr>
        <xdr:cNvSpPr txBox="1"/>
      </xdr:nvSpPr>
      <xdr:spPr>
        <a:xfrm>
          <a:off x="5278967" y="93870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3" name="CaixaDeTexto 602">
          <a:extLst>
            <a:ext uri="{FF2B5EF4-FFF2-40B4-BE49-F238E27FC236}">
              <a16:creationId xmlns:a16="http://schemas.microsoft.com/office/drawing/2014/main" id="{03C06F04-BBCE-418A-8262-7130C1B56529}"/>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4" name="CaixaDeTexto 603">
          <a:extLst>
            <a:ext uri="{FF2B5EF4-FFF2-40B4-BE49-F238E27FC236}">
              <a16:creationId xmlns:a16="http://schemas.microsoft.com/office/drawing/2014/main" id="{C92DA65F-57ED-43DE-9EA7-EBE7CDF05EE4}"/>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5" name="CaixaDeTexto 604">
          <a:extLst>
            <a:ext uri="{FF2B5EF4-FFF2-40B4-BE49-F238E27FC236}">
              <a16:creationId xmlns:a16="http://schemas.microsoft.com/office/drawing/2014/main" id="{7012A33F-3B30-4E14-8D6E-360C7AFB3C61}"/>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6" name="CaixaDeTexto 605">
          <a:extLst>
            <a:ext uri="{FF2B5EF4-FFF2-40B4-BE49-F238E27FC236}">
              <a16:creationId xmlns:a16="http://schemas.microsoft.com/office/drawing/2014/main" id="{D42D76CA-EE6A-4A40-8212-63A9117FEB0A}"/>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7" name="CaixaDeTexto 606">
          <a:extLst>
            <a:ext uri="{FF2B5EF4-FFF2-40B4-BE49-F238E27FC236}">
              <a16:creationId xmlns:a16="http://schemas.microsoft.com/office/drawing/2014/main" id="{849CDD3C-C14A-4816-A3F3-C2556D12144B}"/>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8" name="CaixaDeTexto 607">
          <a:extLst>
            <a:ext uri="{FF2B5EF4-FFF2-40B4-BE49-F238E27FC236}">
              <a16:creationId xmlns:a16="http://schemas.microsoft.com/office/drawing/2014/main" id="{7DE030E3-6217-42AB-BDDC-DA3A008EB2C0}"/>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09" name="CaixaDeTexto 608">
          <a:extLst>
            <a:ext uri="{FF2B5EF4-FFF2-40B4-BE49-F238E27FC236}">
              <a16:creationId xmlns:a16="http://schemas.microsoft.com/office/drawing/2014/main" id="{C4D87B26-FB2A-4E48-B648-FD431D5BE368}"/>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610" name="CaixaDeTexto 609">
          <a:extLst>
            <a:ext uri="{FF2B5EF4-FFF2-40B4-BE49-F238E27FC236}">
              <a16:creationId xmlns:a16="http://schemas.microsoft.com/office/drawing/2014/main" id="{5C49EE10-2EA7-46B2-9E95-6942D6D4DCC0}"/>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471</xdr:row>
      <xdr:rowOff>0</xdr:rowOff>
    </xdr:from>
    <xdr:ext cx="184731" cy="264560"/>
    <xdr:sp macro="" textlink="">
      <xdr:nvSpPr>
        <xdr:cNvPr id="611" name="CaixaDeTexto 610">
          <a:extLst>
            <a:ext uri="{FF2B5EF4-FFF2-40B4-BE49-F238E27FC236}">
              <a16:creationId xmlns:a16="http://schemas.microsoft.com/office/drawing/2014/main" id="{12552FCC-F3B0-4070-B457-36656C99225C}"/>
            </a:ext>
          </a:extLst>
        </xdr:cNvPr>
        <xdr:cNvSpPr txBox="1"/>
      </xdr:nvSpPr>
      <xdr:spPr>
        <a:xfrm>
          <a:off x="5278967" y="93870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612" name="CaixaDeTexto 611">
          <a:extLst>
            <a:ext uri="{FF2B5EF4-FFF2-40B4-BE49-F238E27FC236}">
              <a16:creationId xmlns:a16="http://schemas.microsoft.com/office/drawing/2014/main" id="{CA611D8B-C111-4718-95FE-C898F20327A7}"/>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13" name="CaixaDeTexto 612">
          <a:extLst>
            <a:ext uri="{FF2B5EF4-FFF2-40B4-BE49-F238E27FC236}">
              <a16:creationId xmlns:a16="http://schemas.microsoft.com/office/drawing/2014/main" id="{465070F7-D637-4842-8670-76D30B076B03}"/>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614" name="CaixaDeTexto 613">
          <a:extLst>
            <a:ext uri="{FF2B5EF4-FFF2-40B4-BE49-F238E27FC236}">
              <a16:creationId xmlns:a16="http://schemas.microsoft.com/office/drawing/2014/main" id="{53C1436B-CF0E-402F-872B-9312CD5EED4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15" name="CaixaDeTexto 614">
          <a:extLst>
            <a:ext uri="{FF2B5EF4-FFF2-40B4-BE49-F238E27FC236}">
              <a16:creationId xmlns:a16="http://schemas.microsoft.com/office/drawing/2014/main" id="{D6D9B8C5-538F-4BDA-976C-67461E67E9FB}"/>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16" name="CaixaDeTexto 615">
          <a:extLst>
            <a:ext uri="{FF2B5EF4-FFF2-40B4-BE49-F238E27FC236}">
              <a16:creationId xmlns:a16="http://schemas.microsoft.com/office/drawing/2014/main" id="{C2ECA945-63ED-4825-AED6-70308EF38CED}"/>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17" name="CaixaDeTexto 616">
          <a:extLst>
            <a:ext uri="{FF2B5EF4-FFF2-40B4-BE49-F238E27FC236}">
              <a16:creationId xmlns:a16="http://schemas.microsoft.com/office/drawing/2014/main" id="{8F2E515F-25E6-4329-AFC4-06E079684612}"/>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18" name="CaixaDeTexto 617">
          <a:extLst>
            <a:ext uri="{FF2B5EF4-FFF2-40B4-BE49-F238E27FC236}">
              <a16:creationId xmlns:a16="http://schemas.microsoft.com/office/drawing/2014/main" id="{052D7E9D-3557-4D8D-AD46-B8BDE72857C9}"/>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19" name="CaixaDeTexto 618">
          <a:extLst>
            <a:ext uri="{FF2B5EF4-FFF2-40B4-BE49-F238E27FC236}">
              <a16:creationId xmlns:a16="http://schemas.microsoft.com/office/drawing/2014/main" id="{207C2BA7-00AB-4564-9737-67D7287F3B4B}"/>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20" name="CaixaDeTexto 619">
          <a:extLst>
            <a:ext uri="{FF2B5EF4-FFF2-40B4-BE49-F238E27FC236}">
              <a16:creationId xmlns:a16="http://schemas.microsoft.com/office/drawing/2014/main" id="{60955BC0-F031-48D9-A6B5-1C40F35990D5}"/>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621" name="CaixaDeTexto 620">
          <a:extLst>
            <a:ext uri="{FF2B5EF4-FFF2-40B4-BE49-F238E27FC236}">
              <a16:creationId xmlns:a16="http://schemas.microsoft.com/office/drawing/2014/main" id="{033DB9F1-803E-4189-BC33-3720D6A9E1A3}"/>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2" name="CaixaDeTexto 621">
          <a:extLst>
            <a:ext uri="{FF2B5EF4-FFF2-40B4-BE49-F238E27FC236}">
              <a16:creationId xmlns:a16="http://schemas.microsoft.com/office/drawing/2014/main" id="{B81A554A-E8F0-4066-BF67-8DC94609E75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3" name="CaixaDeTexto 622">
          <a:extLst>
            <a:ext uri="{FF2B5EF4-FFF2-40B4-BE49-F238E27FC236}">
              <a16:creationId xmlns:a16="http://schemas.microsoft.com/office/drawing/2014/main" id="{35C58EA6-F180-4FE6-8E5A-E1AD4847991C}"/>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4" name="CaixaDeTexto 623">
          <a:extLst>
            <a:ext uri="{FF2B5EF4-FFF2-40B4-BE49-F238E27FC236}">
              <a16:creationId xmlns:a16="http://schemas.microsoft.com/office/drawing/2014/main" id="{24A2E91B-EE5F-4E56-9A23-8F0E60D55C3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5" name="CaixaDeTexto 624">
          <a:extLst>
            <a:ext uri="{FF2B5EF4-FFF2-40B4-BE49-F238E27FC236}">
              <a16:creationId xmlns:a16="http://schemas.microsoft.com/office/drawing/2014/main" id="{C52AAF3F-54DD-4C80-B9A5-523A1285639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6" name="CaixaDeTexto 625">
          <a:extLst>
            <a:ext uri="{FF2B5EF4-FFF2-40B4-BE49-F238E27FC236}">
              <a16:creationId xmlns:a16="http://schemas.microsoft.com/office/drawing/2014/main" id="{12353C7D-D8BD-4A1A-8927-484A2BF1AA46}"/>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7" name="CaixaDeTexto 626">
          <a:extLst>
            <a:ext uri="{FF2B5EF4-FFF2-40B4-BE49-F238E27FC236}">
              <a16:creationId xmlns:a16="http://schemas.microsoft.com/office/drawing/2014/main" id="{14B3AC9E-AFBB-4EDA-9BAD-A162104F737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8" name="CaixaDeTexto 627">
          <a:extLst>
            <a:ext uri="{FF2B5EF4-FFF2-40B4-BE49-F238E27FC236}">
              <a16:creationId xmlns:a16="http://schemas.microsoft.com/office/drawing/2014/main" id="{CD006C21-B1DC-4B05-BFE4-433E70C84106}"/>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29" name="CaixaDeTexto 628">
          <a:extLst>
            <a:ext uri="{FF2B5EF4-FFF2-40B4-BE49-F238E27FC236}">
              <a16:creationId xmlns:a16="http://schemas.microsoft.com/office/drawing/2014/main" id="{2BC4654E-9833-4415-AB0A-3299A6A585A1}"/>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0" name="CaixaDeTexto 629">
          <a:extLst>
            <a:ext uri="{FF2B5EF4-FFF2-40B4-BE49-F238E27FC236}">
              <a16:creationId xmlns:a16="http://schemas.microsoft.com/office/drawing/2014/main" id="{7F98C206-2600-4B72-B086-AEA0908335B6}"/>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1" name="CaixaDeTexto 630">
          <a:extLst>
            <a:ext uri="{FF2B5EF4-FFF2-40B4-BE49-F238E27FC236}">
              <a16:creationId xmlns:a16="http://schemas.microsoft.com/office/drawing/2014/main" id="{015AE309-E386-47FA-ACE2-B5726887D22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2" name="CaixaDeTexto 631">
          <a:extLst>
            <a:ext uri="{FF2B5EF4-FFF2-40B4-BE49-F238E27FC236}">
              <a16:creationId xmlns:a16="http://schemas.microsoft.com/office/drawing/2014/main" id="{37CECC92-84BA-4AF1-891D-0F4577235326}"/>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3" name="CaixaDeTexto 632">
          <a:extLst>
            <a:ext uri="{FF2B5EF4-FFF2-40B4-BE49-F238E27FC236}">
              <a16:creationId xmlns:a16="http://schemas.microsoft.com/office/drawing/2014/main" id="{4B05763F-D08D-41E8-B998-FF6D75185479}"/>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4" name="CaixaDeTexto 633">
          <a:extLst>
            <a:ext uri="{FF2B5EF4-FFF2-40B4-BE49-F238E27FC236}">
              <a16:creationId xmlns:a16="http://schemas.microsoft.com/office/drawing/2014/main" id="{F93BF306-7C0A-47C9-B360-0F8A3D341491}"/>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5" name="CaixaDeTexto 634">
          <a:extLst>
            <a:ext uri="{FF2B5EF4-FFF2-40B4-BE49-F238E27FC236}">
              <a16:creationId xmlns:a16="http://schemas.microsoft.com/office/drawing/2014/main" id="{EBC1AA2B-C126-4FAD-BD03-4F4666CB6ED1}"/>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6" name="CaixaDeTexto 635">
          <a:extLst>
            <a:ext uri="{FF2B5EF4-FFF2-40B4-BE49-F238E27FC236}">
              <a16:creationId xmlns:a16="http://schemas.microsoft.com/office/drawing/2014/main" id="{798CEDD2-5A12-44D5-9A4C-9EA3E02D1933}"/>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7" name="CaixaDeTexto 636">
          <a:extLst>
            <a:ext uri="{FF2B5EF4-FFF2-40B4-BE49-F238E27FC236}">
              <a16:creationId xmlns:a16="http://schemas.microsoft.com/office/drawing/2014/main" id="{B59DA619-6E5F-4868-8AA1-6CF250EEF95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8" name="CaixaDeTexto 637">
          <a:extLst>
            <a:ext uri="{FF2B5EF4-FFF2-40B4-BE49-F238E27FC236}">
              <a16:creationId xmlns:a16="http://schemas.microsoft.com/office/drawing/2014/main" id="{61779AA3-4C51-469F-B9E2-CD430FCF9BE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39" name="CaixaDeTexto 638">
          <a:extLst>
            <a:ext uri="{FF2B5EF4-FFF2-40B4-BE49-F238E27FC236}">
              <a16:creationId xmlns:a16="http://schemas.microsoft.com/office/drawing/2014/main" id="{FD4E77B0-DE70-4937-8BE0-68DDE7697E21}"/>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0" name="CaixaDeTexto 639">
          <a:extLst>
            <a:ext uri="{FF2B5EF4-FFF2-40B4-BE49-F238E27FC236}">
              <a16:creationId xmlns:a16="http://schemas.microsoft.com/office/drawing/2014/main" id="{0C75DE79-3DCD-4E42-816A-67B770535B7B}"/>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1" name="CaixaDeTexto 640">
          <a:extLst>
            <a:ext uri="{FF2B5EF4-FFF2-40B4-BE49-F238E27FC236}">
              <a16:creationId xmlns:a16="http://schemas.microsoft.com/office/drawing/2014/main" id="{60F63547-CB98-4F9A-8CEE-1E2B9331A2C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2" name="CaixaDeTexto 641">
          <a:extLst>
            <a:ext uri="{FF2B5EF4-FFF2-40B4-BE49-F238E27FC236}">
              <a16:creationId xmlns:a16="http://schemas.microsoft.com/office/drawing/2014/main" id="{43C32262-0443-402B-A0DA-8F13F83131B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3" name="CaixaDeTexto 642">
          <a:extLst>
            <a:ext uri="{FF2B5EF4-FFF2-40B4-BE49-F238E27FC236}">
              <a16:creationId xmlns:a16="http://schemas.microsoft.com/office/drawing/2014/main" id="{FD3D475E-5202-4534-8AC8-F663AAFEDB90}"/>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4" name="CaixaDeTexto 643">
          <a:extLst>
            <a:ext uri="{FF2B5EF4-FFF2-40B4-BE49-F238E27FC236}">
              <a16:creationId xmlns:a16="http://schemas.microsoft.com/office/drawing/2014/main" id="{4E56A7B0-9A5B-4BD7-9DD8-7EC41D7D6828}"/>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5" name="CaixaDeTexto 644">
          <a:extLst>
            <a:ext uri="{FF2B5EF4-FFF2-40B4-BE49-F238E27FC236}">
              <a16:creationId xmlns:a16="http://schemas.microsoft.com/office/drawing/2014/main" id="{CEC233AC-C7E8-4391-8E4D-06082ED5AF69}"/>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6" name="CaixaDeTexto 645">
          <a:extLst>
            <a:ext uri="{FF2B5EF4-FFF2-40B4-BE49-F238E27FC236}">
              <a16:creationId xmlns:a16="http://schemas.microsoft.com/office/drawing/2014/main" id="{EDCB13A4-D258-48A5-945E-D3BBC3B2F5D1}"/>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7" name="CaixaDeTexto 646">
          <a:extLst>
            <a:ext uri="{FF2B5EF4-FFF2-40B4-BE49-F238E27FC236}">
              <a16:creationId xmlns:a16="http://schemas.microsoft.com/office/drawing/2014/main" id="{510783D2-5D1B-4C99-8BC9-994B87722397}"/>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8" name="CaixaDeTexto 647">
          <a:extLst>
            <a:ext uri="{FF2B5EF4-FFF2-40B4-BE49-F238E27FC236}">
              <a16:creationId xmlns:a16="http://schemas.microsoft.com/office/drawing/2014/main" id="{BBF3D1CD-6B5E-4F50-A1F0-4F0D45F448D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49" name="CaixaDeTexto 648">
          <a:extLst>
            <a:ext uri="{FF2B5EF4-FFF2-40B4-BE49-F238E27FC236}">
              <a16:creationId xmlns:a16="http://schemas.microsoft.com/office/drawing/2014/main" id="{FBC25AFB-5A77-4570-BD8D-45AD3ED5947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0" name="CaixaDeTexto 649">
          <a:extLst>
            <a:ext uri="{FF2B5EF4-FFF2-40B4-BE49-F238E27FC236}">
              <a16:creationId xmlns:a16="http://schemas.microsoft.com/office/drawing/2014/main" id="{FA9229B7-EFAE-4B3C-8C2D-3D8839D6835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1" name="CaixaDeTexto 650">
          <a:extLst>
            <a:ext uri="{FF2B5EF4-FFF2-40B4-BE49-F238E27FC236}">
              <a16:creationId xmlns:a16="http://schemas.microsoft.com/office/drawing/2014/main" id="{32814B85-2F04-4F92-B136-CACAEED3E44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2" name="CaixaDeTexto 651">
          <a:extLst>
            <a:ext uri="{FF2B5EF4-FFF2-40B4-BE49-F238E27FC236}">
              <a16:creationId xmlns:a16="http://schemas.microsoft.com/office/drawing/2014/main" id="{993927D6-9F07-4359-971E-78DA04A7D1E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3" name="CaixaDeTexto 652">
          <a:extLst>
            <a:ext uri="{FF2B5EF4-FFF2-40B4-BE49-F238E27FC236}">
              <a16:creationId xmlns:a16="http://schemas.microsoft.com/office/drawing/2014/main" id="{0B271570-DEF8-466E-B562-9D7ED9A51FF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4" name="CaixaDeTexto 653">
          <a:extLst>
            <a:ext uri="{FF2B5EF4-FFF2-40B4-BE49-F238E27FC236}">
              <a16:creationId xmlns:a16="http://schemas.microsoft.com/office/drawing/2014/main" id="{E1ECD23A-AE2F-4C92-8845-4A1F45C5BAB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5" name="CaixaDeTexto 654">
          <a:extLst>
            <a:ext uri="{FF2B5EF4-FFF2-40B4-BE49-F238E27FC236}">
              <a16:creationId xmlns:a16="http://schemas.microsoft.com/office/drawing/2014/main" id="{33249BFA-B108-4788-A806-71ACE2BA042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6" name="CaixaDeTexto 655">
          <a:extLst>
            <a:ext uri="{FF2B5EF4-FFF2-40B4-BE49-F238E27FC236}">
              <a16:creationId xmlns:a16="http://schemas.microsoft.com/office/drawing/2014/main" id="{E159F260-E753-4E8E-B15B-2AE113D54A0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7" name="CaixaDeTexto 656">
          <a:extLst>
            <a:ext uri="{FF2B5EF4-FFF2-40B4-BE49-F238E27FC236}">
              <a16:creationId xmlns:a16="http://schemas.microsoft.com/office/drawing/2014/main" id="{988EB050-8170-43EB-9E01-809E48685D30}"/>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8" name="CaixaDeTexto 657">
          <a:extLst>
            <a:ext uri="{FF2B5EF4-FFF2-40B4-BE49-F238E27FC236}">
              <a16:creationId xmlns:a16="http://schemas.microsoft.com/office/drawing/2014/main" id="{F44B20E8-597C-4461-958F-7CB0DD69CCA1}"/>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59" name="CaixaDeTexto 658">
          <a:extLst>
            <a:ext uri="{FF2B5EF4-FFF2-40B4-BE49-F238E27FC236}">
              <a16:creationId xmlns:a16="http://schemas.microsoft.com/office/drawing/2014/main" id="{F270E4D6-7D53-4B48-AF1D-24CEA1479B4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0" name="CaixaDeTexto 659">
          <a:extLst>
            <a:ext uri="{FF2B5EF4-FFF2-40B4-BE49-F238E27FC236}">
              <a16:creationId xmlns:a16="http://schemas.microsoft.com/office/drawing/2014/main" id="{FB4E23C1-B9F2-48C4-9BBB-C41C4E6EC1A3}"/>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1" name="CaixaDeTexto 660">
          <a:extLst>
            <a:ext uri="{FF2B5EF4-FFF2-40B4-BE49-F238E27FC236}">
              <a16:creationId xmlns:a16="http://schemas.microsoft.com/office/drawing/2014/main" id="{7F3735E1-75F8-4DD8-B198-29F7E87D057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2" name="CaixaDeTexto 661">
          <a:extLst>
            <a:ext uri="{FF2B5EF4-FFF2-40B4-BE49-F238E27FC236}">
              <a16:creationId xmlns:a16="http://schemas.microsoft.com/office/drawing/2014/main" id="{870761D0-C6C3-4E13-86CD-30713576BFE0}"/>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3" name="CaixaDeTexto 662">
          <a:extLst>
            <a:ext uri="{FF2B5EF4-FFF2-40B4-BE49-F238E27FC236}">
              <a16:creationId xmlns:a16="http://schemas.microsoft.com/office/drawing/2014/main" id="{DDB77919-1EA9-4949-9A86-5DCC097FB53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4" name="CaixaDeTexto 663">
          <a:extLst>
            <a:ext uri="{FF2B5EF4-FFF2-40B4-BE49-F238E27FC236}">
              <a16:creationId xmlns:a16="http://schemas.microsoft.com/office/drawing/2014/main" id="{7B6C848D-D5A0-43EA-813A-136910D4A08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5" name="CaixaDeTexto 664">
          <a:extLst>
            <a:ext uri="{FF2B5EF4-FFF2-40B4-BE49-F238E27FC236}">
              <a16:creationId xmlns:a16="http://schemas.microsoft.com/office/drawing/2014/main" id="{908E5E14-7E5A-4D6D-B1D6-4F279192542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66" name="CaixaDeTexto 665">
          <a:extLst>
            <a:ext uri="{FF2B5EF4-FFF2-40B4-BE49-F238E27FC236}">
              <a16:creationId xmlns:a16="http://schemas.microsoft.com/office/drawing/2014/main" id="{184511F3-C24A-4369-9092-C830047CB2C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67" name="CaixaDeTexto 666">
          <a:extLst>
            <a:ext uri="{FF2B5EF4-FFF2-40B4-BE49-F238E27FC236}">
              <a16:creationId xmlns:a16="http://schemas.microsoft.com/office/drawing/2014/main" id="{5AC87955-4829-4545-A037-783896A6A22D}"/>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68" name="CaixaDeTexto 667">
          <a:extLst>
            <a:ext uri="{FF2B5EF4-FFF2-40B4-BE49-F238E27FC236}">
              <a16:creationId xmlns:a16="http://schemas.microsoft.com/office/drawing/2014/main" id="{241B8B3E-EC9C-42AE-8108-CA53FEDAFAE3}"/>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69" name="CaixaDeTexto 668">
          <a:extLst>
            <a:ext uri="{FF2B5EF4-FFF2-40B4-BE49-F238E27FC236}">
              <a16:creationId xmlns:a16="http://schemas.microsoft.com/office/drawing/2014/main" id="{721D2A71-E6FE-45B5-BA08-E6749A19B99A}"/>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0" name="CaixaDeTexto 669">
          <a:extLst>
            <a:ext uri="{FF2B5EF4-FFF2-40B4-BE49-F238E27FC236}">
              <a16:creationId xmlns:a16="http://schemas.microsoft.com/office/drawing/2014/main" id="{5F968E00-4C8A-4E50-89C2-66EC195EC14D}"/>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1" name="CaixaDeTexto 670">
          <a:extLst>
            <a:ext uri="{FF2B5EF4-FFF2-40B4-BE49-F238E27FC236}">
              <a16:creationId xmlns:a16="http://schemas.microsoft.com/office/drawing/2014/main" id="{C8CB47BA-8E85-4EC1-81F5-9EE07E1AE3DA}"/>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2" name="CaixaDeTexto 671">
          <a:extLst>
            <a:ext uri="{FF2B5EF4-FFF2-40B4-BE49-F238E27FC236}">
              <a16:creationId xmlns:a16="http://schemas.microsoft.com/office/drawing/2014/main" id="{264BA95D-F834-4FDE-BD9A-B87FE4F89EED}"/>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3" name="CaixaDeTexto 672">
          <a:extLst>
            <a:ext uri="{FF2B5EF4-FFF2-40B4-BE49-F238E27FC236}">
              <a16:creationId xmlns:a16="http://schemas.microsoft.com/office/drawing/2014/main" id="{4962EEC4-4837-499F-B400-990AF66F6326}"/>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4" name="CaixaDeTexto 673">
          <a:extLst>
            <a:ext uri="{FF2B5EF4-FFF2-40B4-BE49-F238E27FC236}">
              <a16:creationId xmlns:a16="http://schemas.microsoft.com/office/drawing/2014/main" id="{943E153B-96C5-4ED2-993A-4C144712955C}"/>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5" name="CaixaDeTexto 674">
          <a:extLst>
            <a:ext uri="{FF2B5EF4-FFF2-40B4-BE49-F238E27FC236}">
              <a16:creationId xmlns:a16="http://schemas.microsoft.com/office/drawing/2014/main" id="{8C280808-A84C-4657-A067-5E225DD5688E}"/>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480</xdr:row>
      <xdr:rowOff>0</xdr:rowOff>
    </xdr:from>
    <xdr:ext cx="184731" cy="264560"/>
    <xdr:sp macro="" textlink="">
      <xdr:nvSpPr>
        <xdr:cNvPr id="676" name="CaixaDeTexto 675">
          <a:extLst>
            <a:ext uri="{FF2B5EF4-FFF2-40B4-BE49-F238E27FC236}">
              <a16:creationId xmlns:a16="http://schemas.microsoft.com/office/drawing/2014/main" id="{43502F16-5B64-45B2-B11B-FE03891D4F80}"/>
            </a:ext>
          </a:extLst>
        </xdr:cNvPr>
        <xdr:cNvSpPr txBox="1"/>
      </xdr:nvSpPr>
      <xdr:spPr>
        <a:xfrm>
          <a:off x="5278967" y="9564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7" name="CaixaDeTexto 676">
          <a:extLst>
            <a:ext uri="{FF2B5EF4-FFF2-40B4-BE49-F238E27FC236}">
              <a16:creationId xmlns:a16="http://schemas.microsoft.com/office/drawing/2014/main" id="{BDF85BA5-EC85-48DB-894E-3A179F6DCEDE}"/>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479</xdr:row>
      <xdr:rowOff>0</xdr:rowOff>
    </xdr:from>
    <xdr:ext cx="184731" cy="264560"/>
    <xdr:sp macro="" textlink="">
      <xdr:nvSpPr>
        <xdr:cNvPr id="678" name="CaixaDeTexto 677">
          <a:extLst>
            <a:ext uri="{FF2B5EF4-FFF2-40B4-BE49-F238E27FC236}">
              <a16:creationId xmlns:a16="http://schemas.microsoft.com/office/drawing/2014/main" id="{909D7B2A-22D4-463E-B3BA-0745A4D90F56}"/>
            </a:ext>
          </a:extLst>
        </xdr:cNvPr>
        <xdr:cNvSpPr txBox="1"/>
      </xdr:nvSpPr>
      <xdr:spPr>
        <a:xfrm>
          <a:off x="5278967" y="95448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79" name="CaixaDeTexto 678">
          <a:extLst>
            <a:ext uri="{FF2B5EF4-FFF2-40B4-BE49-F238E27FC236}">
              <a16:creationId xmlns:a16="http://schemas.microsoft.com/office/drawing/2014/main" id="{2BE4F3ED-8C03-4FD3-A272-931474E69C3A}"/>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0" name="CaixaDeTexto 679">
          <a:extLst>
            <a:ext uri="{FF2B5EF4-FFF2-40B4-BE49-F238E27FC236}">
              <a16:creationId xmlns:a16="http://schemas.microsoft.com/office/drawing/2014/main" id="{92CCF4AC-B7CB-4177-9537-9B5608586A38}"/>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1" name="CaixaDeTexto 680">
          <a:extLst>
            <a:ext uri="{FF2B5EF4-FFF2-40B4-BE49-F238E27FC236}">
              <a16:creationId xmlns:a16="http://schemas.microsoft.com/office/drawing/2014/main" id="{02A2A9E0-FE32-4377-9228-F951E7CA43D8}"/>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2" name="CaixaDeTexto 681">
          <a:extLst>
            <a:ext uri="{FF2B5EF4-FFF2-40B4-BE49-F238E27FC236}">
              <a16:creationId xmlns:a16="http://schemas.microsoft.com/office/drawing/2014/main" id="{D4E64089-7010-4D1A-9CFF-9AC4562A2450}"/>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3" name="CaixaDeTexto 682">
          <a:extLst>
            <a:ext uri="{FF2B5EF4-FFF2-40B4-BE49-F238E27FC236}">
              <a16:creationId xmlns:a16="http://schemas.microsoft.com/office/drawing/2014/main" id="{E4D9B57F-9E3E-4881-A54E-5D656D80D64E}"/>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4" name="CaixaDeTexto 683">
          <a:extLst>
            <a:ext uri="{FF2B5EF4-FFF2-40B4-BE49-F238E27FC236}">
              <a16:creationId xmlns:a16="http://schemas.microsoft.com/office/drawing/2014/main" id="{8C07569C-61A2-46B1-82D1-6574B2B76FA2}"/>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5" name="CaixaDeTexto 684">
          <a:extLst>
            <a:ext uri="{FF2B5EF4-FFF2-40B4-BE49-F238E27FC236}">
              <a16:creationId xmlns:a16="http://schemas.microsoft.com/office/drawing/2014/main" id="{6964AB14-E606-4951-8065-747BD88D245E}"/>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686" name="CaixaDeTexto 685">
          <a:extLst>
            <a:ext uri="{FF2B5EF4-FFF2-40B4-BE49-F238E27FC236}">
              <a16:creationId xmlns:a16="http://schemas.microsoft.com/office/drawing/2014/main" id="{92BEE651-71D8-46C4-8BEA-6CD7409746E2}"/>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479</xdr:row>
      <xdr:rowOff>0</xdr:rowOff>
    </xdr:from>
    <xdr:ext cx="184731" cy="264560"/>
    <xdr:sp macro="" textlink="">
      <xdr:nvSpPr>
        <xdr:cNvPr id="687" name="CaixaDeTexto 686">
          <a:extLst>
            <a:ext uri="{FF2B5EF4-FFF2-40B4-BE49-F238E27FC236}">
              <a16:creationId xmlns:a16="http://schemas.microsoft.com/office/drawing/2014/main" id="{D0A78B89-56E0-4E9F-A152-68933C059F5D}"/>
            </a:ext>
          </a:extLst>
        </xdr:cNvPr>
        <xdr:cNvSpPr txBox="1"/>
      </xdr:nvSpPr>
      <xdr:spPr>
        <a:xfrm>
          <a:off x="5278967" y="95448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88" name="CaixaDeTexto 687">
          <a:extLst>
            <a:ext uri="{FF2B5EF4-FFF2-40B4-BE49-F238E27FC236}">
              <a16:creationId xmlns:a16="http://schemas.microsoft.com/office/drawing/2014/main" id="{0FF0E493-E670-44A7-A1B7-39F03E686EB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89" name="CaixaDeTexto 688">
          <a:extLst>
            <a:ext uri="{FF2B5EF4-FFF2-40B4-BE49-F238E27FC236}">
              <a16:creationId xmlns:a16="http://schemas.microsoft.com/office/drawing/2014/main" id="{876B9D80-7039-458A-A00C-6750F6E90058}"/>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690" name="CaixaDeTexto 689">
          <a:extLst>
            <a:ext uri="{FF2B5EF4-FFF2-40B4-BE49-F238E27FC236}">
              <a16:creationId xmlns:a16="http://schemas.microsoft.com/office/drawing/2014/main" id="{6B0AB132-6464-4622-A288-DEA9B900E563}"/>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1" name="CaixaDeTexto 690">
          <a:extLst>
            <a:ext uri="{FF2B5EF4-FFF2-40B4-BE49-F238E27FC236}">
              <a16:creationId xmlns:a16="http://schemas.microsoft.com/office/drawing/2014/main" id="{6A33A252-CB9B-4D6C-B842-C0311D995B63}"/>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2" name="CaixaDeTexto 691">
          <a:extLst>
            <a:ext uri="{FF2B5EF4-FFF2-40B4-BE49-F238E27FC236}">
              <a16:creationId xmlns:a16="http://schemas.microsoft.com/office/drawing/2014/main" id="{A47A0894-5A08-410B-938E-5C15575BC067}"/>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3" name="CaixaDeTexto 692">
          <a:extLst>
            <a:ext uri="{FF2B5EF4-FFF2-40B4-BE49-F238E27FC236}">
              <a16:creationId xmlns:a16="http://schemas.microsoft.com/office/drawing/2014/main" id="{65B7DAD3-07ED-49E8-9CA5-51235248ABAF}"/>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4" name="CaixaDeTexto 693">
          <a:extLst>
            <a:ext uri="{FF2B5EF4-FFF2-40B4-BE49-F238E27FC236}">
              <a16:creationId xmlns:a16="http://schemas.microsoft.com/office/drawing/2014/main" id="{54A78597-338D-465A-B319-F7D9B9D16453}"/>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5" name="CaixaDeTexto 694">
          <a:extLst>
            <a:ext uri="{FF2B5EF4-FFF2-40B4-BE49-F238E27FC236}">
              <a16:creationId xmlns:a16="http://schemas.microsoft.com/office/drawing/2014/main" id="{265871C6-FD6A-4190-B0A7-9D8C731F3F69}"/>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6" name="CaixaDeTexto 695">
          <a:extLst>
            <a:ext uri="{FF2B5EF4-FFF2-40B4-BE49-F238E27FC236}">
              <a16:creationId xmlns:a16="http://schemas.microsoft.com/office/drawing/2014/main" id="{DED157DE-570D-48A2-8D2B-D65E9F49932A}"/>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697" name="CaixaDeTexto 696">
          <a:extLst>
            <a:ext uri="{FF2B5EF4-FFF2-40B4-BE49-F238E27FC236}">
              <a16:creationId xmlns:a16="http://schemas.microsoft.com/office/drawing/2014/main" id="{29FF3C69-7A5C-4FB7-B383-506A19235D65}"/>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244</xdr:row>
      <xdr:rowOff>0</xdr:rowOff>
    </xdr:from>
    <xdr:ext cx="184731" cy="264560"/>
    <xdr:sp macro="" textlink="">
      <xdr:nvSpPr>
        <xdr:cNvPr id="698" name="CaixaDeTexto 697">
          <a:extLst>
            <a:ext uri="{FF2B5EF4-FFF2-40B4-BE49-F238E27FC236}">
              <a16:creationId xmlns:a16="http://schemas.microsoft.com/office/drawing/2014/main" id="{080596CF-CFE0-49F2-B23F-DADD028DB740}"/>
            </a:ext>
          </a:extLst>
        </xdr:cNvPr>
        <xdr:cNvSpPr txBox="1"/>
      </xdr:nvSpPr>
      <xdr:spPr>
        <a:xfrm>
          <a:off x="5278967" y="47335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252</xdr:row>
      <xdr:rowOff>0</xdr:rowOff>
    </xdr:from>
    <xdr:ext cx="184731" cy="264560"/>
    <xdr:sp macro="" textlink="">
      <xdr:nvSpPr>
        <xdr:cNvPr id="699" name="CaixaDeTexto 698">
          <a:extLst>
            <a:ext uri="{FF2B5EF4-FFF2-40B4-BE49-F238E27FC236}">
              <a16:creationId xmlns:a16="http://schemas.microsoft.com/office/drawing/2014/main" id="{89BBBBA3-3AEC-4C33-B20D-AB4E12E18594}"/>
            </a:ext>
          </a:extLst>
        </xdr:cNvPr>
        <xdr:cNvSpPr txBox="1"/>
      </xdr:nvSpPr>
      <xdr:spPr>
        <a:xfrm>
          <a:off x="5278967" y="489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268</xdr:row>
      <xdr:rowOff>0</xdr:rowOff>
    </xdr:from>
    <xdr:ext cx="184731" cy="264560"/>
    <xdr:sp macro="" textlink="">
      <xdr:nvSpPr>
        <xdr:cNvPr id="700" name="CaixaDeTexto 699">
          <a:extLst>
            <a:ext uri="{FF2B5EF4-FFF2-40B4-BE49-F238E27FC236}">
              <a16:creationId xmlns:a16="http://schemas.microsoft.com/office/drawing/2014/main" id="{0C994454-00BB-4F35-9355-E3A052791137}"/>
            </a:ext>
          </a:extLst>
        </xdr:cNvPr>
        <xdr:cNvSpPr txBox="1"/>
      </xdr:nvSpPr>
      <xdr:spPr>
        <a:xfrm>
          <a:off x="5278967" y="52090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701" name="CaixaDeTexto 700">
          <a:extLst>
            <a:ext uri="{FF2B5EF4-FFF2-40B4-BE49-F238E27FC236}">
              <a16:creationId xmlns:a16="http://schemas.microsoft.com/office/drawing/2014/main" id="{B588ED3B-D1A3-45E2-8C56-CFC58A9D4013}"/>
            </a:ext>
          </a:extLst>
        </xdr:cNvPr>
        <xdr:cNvSpPr txBox="1"/>
      </xdr:nvSpPr>
      <xdr:spPr>
        <a:xfrm>
          <a:off x="5278967" y="53675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284</xdr:row>
      <xdr:rowOff>0</xdr:rowOff>
    </xdr:from>
    <xdr:ext cx="184731" cy="264560"/>
    <xdr:sp macro="" textlink="">
      <xdr:nvSpPr>
        <xdr:cNvPr id="702" name="CaixaDeTexto 701">
          <a:extLst>
            <a:ext uri="{FF2B5EF4-FFF2-40B4-BE49-F238E27FC236}">
              <a16:creationId xmlns:a16="http://schemas.microsoft.com/office/drawing/2014/main" id="{CABCAEEB-BEA0-4951-8CEC-A1C2BBD0E473}"/>
            </a:ext>
          </a:extLst>
        </xdr:cNvPr>
        <xdr:cNvSpPr txBox="1"/>
      </xdr:nvSpPr>
      <xdr:spPr>
        <a:xfrm>
          <a:off x="5278967" y="552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703" name="CaixaDeTexto 702">
          <a:extLst>
            <a:ext uri="{FF2B5EF4-FFF2-40B4-BE49-F238E27FC236}">
              <a16:creationId xmlns:a16="http://schemas.microsoft.com/office/drawing/2014/main" id="{0DEBAE0D-D679-43E8-B8DF-D2AB6FF1FD26}"/>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704" name="CaixaDeTexto 703">
          <a:extLst>
            <a:ext uri="{FF2B5EF4-FFF2-40B4-BE49-F238E27FC236}">
              <a16:creationId xmlns:a16="http://schemas.microsoft.com/office/drawing/2014/main" id="{46C2EDC8-2EA1-4DDF-9436-F8867F60371D}"/>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705" name="CaixaDeTexto 704">
          <a:extLst>
            <a:ext uri="{FF2B5EF4-FFF2-40B4-BE49-F238E27FC236}">
              <a16:creationId xmlns:a16="http://schemas.microsoft.com/office/drawing/2014/main" id="{2068EC54-1EB3-43A1-AD5F-5989B8386C2C}"/>
            </a:ext>
          </a:extLst>
        </xdr:cNvPr>
        <xdr:cNvSpPr txBox="1"/>
      </xdr:nvSpPr>
      <xdr:spPr>
        <a:xfrm>
          <a:off x="5278967" y="6199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706" name="CaixaDeTexto 705">
          <a:extLst>
            <a:ext uri="{FF2B5EF4-FFF2-40B4-BE49-F238E27FC236}">
              <a16:creationId xmlns:a16="http://schemas.microsoft.com/office/drawing/2014/main" id="{D4EEF0F1-EA9A-4B28-AA7D-4D2EED7E8508}"/>
            </a:ext>
          </a:extLst>
        </xdr:cNvPr>
        <xdr:cNvSpPr txBox="1"/>
      </xdr:nvSpPr>
      <xdr:spPr>
        <a:xfrm>
          <a:off x="5278967" y="63581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707" name="CaixaDeTexto 706">
          <a:extLst>
            <a:ext uri="{FF2B5EF4-FFF2-40B4-BE49-F238E27FC236}">
              <a16:creationId xmlns:a16="http://schemas.microsoft.com/office/drawing/2014/main" id="{21DEB7C6-841A-4FC8-B806-0F0020AE8DC1}"/>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348</xdr:row>
      <xdr:rowOff>0</xdr:rowOff>
    </xdr:from>
    <xdr:ext cx="184731" cy="264560"/>
    <xdr:sp macro="" textlink="">
      <xdr:nvSpPr>
        <xdr:cNvPr id="708" name="CaixaDeTexto 707">
          <a:extLst>
            <a:ext uri="{FF2B5EF4-FFF2-40B4-BE49-F238E27FC236}">
              <a16:creationId xmlns:a16="http://schemas.microsoft.com/office/drawing/2014/main" id="{382F557D-E162-45A7-8BD9-9416AC2F0707}"/>
            </a:ext>
          </a:extLst>
        </xdr:cNvPr>
        <xdr:cNvSpPr txBox="1"/>
      </xdr:nvSpPr>
      <xdr:spPr>
        <a:xfrm>
          <a:off x="5278967" y="68336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709" name="CaixaDeTexto 708">
          <a:extLst>
            <a:ext uri="{FF2B5EF4-FFF2-40B4-BE49-F238E27FC236}">
              <a16:creationId xmlns:a16="http://schemas.microsoft.com/office/drawing/2014/main" id="{87990B0C-99DD-4277-9F14-790DF9652B06}"/>
            </a:ext>
          </a:extLst>
        </xdr:cNvPr>
        <xdr:cNvSpPr txBox="1"/>
      </xdr:nvSpPr>
      <xdr:spPr>
        <a:xfrm>
          <a:off x="5278967"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710" name="CaixaDeTexto 709">
          <a:extLst>
            <a:ext uri="{FF2B5EF4-FFF2-40B4-BE49-F238E27FC236}">
              <a16:creationId xmlns:a16="http://schemas.microsoft.com/office/drawing/2014/main" id="{26D8137E-B5B8-4175-A4E0-9ADEECA76996}"/>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372</xdr:row>
      <xdr:rowOff>0</xdr:rowOff>
    </xdr:from>
    <xdr:ext cx="184731" cy="264560"/>
    <xdr:sp macro="" textlink="">
      <xdr:nvSpPr>
        <xdr:cNvPr id="711" name="CaixaDeTexto 710">
          <a:extLst>
            <a:ext uri="{FF2B5EF4-FFF2-40B4-BE49-F238E27FC236}">
              <a16:creationId xmlns:a16="http://schemas.microsoft.com/office/drawing/2014/main" id="{6B6B2B7B-826A-48BC-90A9-6968B6F0F6A6}"/>
            </a:ext>
          </a:extLst>
        </xdr:cNvPr>
        <xdr:cNvSpPr txBox="1"/>
      </xdr:nvSpPr>
      <xdr:spPr>
        <a:xfrm>
          <a:off x="5278967" y="7328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712" name="CaixaDeTexto 711">
          <a:extLst>
            <a:ext uri="{FF2B5EF4-FFF2-40B4-BE49-F238E27FC236}">
              <a16:creationId xmlns:a16="http://schemas.microsoft.com/office/drawing/2014/main" id="{E49FC166-51A0-41EA-9CCF-2506792B32BE}"/>
            </a:ext>
          </a:extLst>
        </xdr:cNvPr>
        <xdr:cNvSpPr txBox="1"/>
      </xdr:nvSpPr>
      <xdr:spPr>
        <a:xfrm>
          <a:off x="5278967" y="7487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713" name="CaixaDeTexto 712">
          <a:extLst>
            <a:ext uri="{FF2B5EF4-FFF2-40B4-BE49-F238E27FC236}">
              <a16:creationId xmlns:a16="http://schemas.microsoft.com/office/drawing/2014/main" id="{AFC61E38-43D8-4DC3-A42B-1A4A61E88FB4}"/>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396</xdr:row>
      <xdr:rowOff>0</xdr:rowOff>
    </xdr:from>
    <xdr:ext cx="184731" cy="264560"/>
    <xdr:sp macro="" textlink="">
      <xdr:nvSpPr>
        <xdr:cNvPr id="714" name="CaixaDeTexto 713">
          <a:extLst>
            <a:ext uri="{FF2B5EF4-FFF2-40B4-BE49-F238E27FC236}">
              <a16:creationId xmlns:a16="http://schemas.microsoft.com/office/drawing/2014/main" id="{0C6A034D-A66A-465D-9124-9D3E11FE54FA}"/>
            </a:ext>
          </a:extLst>
        </xdr:cNvPr>
        <xdr:cNvSpPr txBox="1"/>
      </xdr:nvSpPr>
      <xdr:spPr>
        <a:xfrm>
          <a:off x="5278967" y="7844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715" name="CaixaDeTexto 714">
          <a:extLst>
            <a:ext uri="{FF2B5EF4-FFF2-40B4-BE49-F238E27FC236}">
              <a16:creationId xmlns:a16="http://schemas.microsoft.com/office/drawing/2014/main" id="{C30FF7CA-FF51-4073-9A08-FE22F64C0406}"/>
            </a:ext>
          </a:extLst>
        </xdr:cNvPr>
        <xdr:cNvSpPr txBox="1"/>
      </xdr:nvSpPr>
      <xdr:spPr>
        <a:xfrm>
          <a:off x="5278967" y="80223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716" name="CaixaDeTexto 715">
          <a:extLst>
            <a:ext uri="{FF2B5EF4-FFF2-40B4-BE49-F238E27FC236}">
              <a16:creationId xmlns:a16="http://schemas.microsoft.com/office/drawing/2014/main" id="{7C7CFF1D-A7D0-4D3D-84DB-98867D8488A7}"/>
            </a:ext>
          </a:extLst>
        </xdr:cNvPr>
        <xdr:cNvSpPr txBox="1"/>
      </xdr:nvSpPr>
      <xdr:spPr>
        <a:xfrm>
          <a:off x="5278967" y="8180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717" name="CaixaDeTexto 716">
          <a:extLst>
            <a:ext uri="{FF2B5EF4-FFF2-40B4-BE49-F238E27FC236}">
              <a16:creationId xmlns:a16="http://schemas.microsoft.com/office/drawing/2014/main" id="{5FF86423-CD91-4B2D-AD33-E4C69467690F}"/>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718" name="CaixaDeTexto 717">
          <a:extLst>
            <a:ext uri="{FF2B5EF4-FFF2-40B4-BE49-F238E27FC236}">
              <a16:creationId xmlns:a16="http://schemas.microsoft.com/office/drawing/2014/main" id="{33DE38DC-11F9-42B0-8529-509A3B6B45BA}"/>
            </a:ext>
          </a:extLst>
        </xdr:cNvPr>
        <xdr:cNvSpPr txBox="1"/>
      </xdr:nvSpPr>
      <xdr:spPr>
        <a:xfrm>
          <a:off x="5278967" y="53675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284</xdr:row>
      <xdr:rowOff>0</xdr:rowOff>
    </xdr:from>
    <xdr:ext cx="184731" cy="264560"/>
    <xdr:sp macro="" textlink="">
      <xdr:nvSpPr>
        <xdr:cNvPr id="719" name="CaixaDeTexto 718">
          <a:extLst>
            <a:ext uri="{FF2B5EF4-FFF2-40B4-BE49-F238E27FC236}">
              <a16:creationId xmlns:a16="http://schemas.microsoft.com/office/drawing/2014/main" id="{50C96848-A55B-4FD7-BD4F-CF3A59C004E3}"/>
            </a:ext>
          </a:extLst>
        </xdr:cNvPr>
        <xdr:cNvSpPr txBox="1"/>
      </xdr:nvSpPr>
      <xdr:spPr>
        <a:xfrm>
          <a:off x="5278967" y="552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720" name="CaixaDeTexto 719">
          <a:extLst>
            <a:ext uri="{FF2B5EF4-FFF2-40B4-BE49-F238E27FC236}">
              <a16:creationId xmlns:a16="http://schemas.microsoft.com/office/drawing/2014/main" id="{077FD06B-0453-453A-87AB-FD3831A072C4}"/>
            </a:ext>
          </a:extLst>
        </xdr:cNvPr>
        <xdr:cNvSpPr txBox="1"/>
      </xdr:nvSpPr>
      <xdr:spPr>
        <a:xfrm>
          <a:off x="5278967" y="57043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721" name="CaixaDeTexto 720">
          <a:extLst>
            <a:ext uri="{FF2B5EF4-FFF2-40B4-BE49-F238E27FC236}">
              <a16:creationId xmlns:a16="http://schemas.microsoft.com/office/drawing/2014/main" id="{9BD2AE22-80BF-420E-8909-E340D1DDCCF8}"/>
            </a:ext>
          </a:extLst>
        </xdr:cNvPr>
        <xdr:cNvSpPr txBox="1"/>
      </xdr:nvSpPr>
      <xdr:spPr>
        <a:xfrm>
          <a:off x="5278967" y="57043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722" name="CaixaDeTexto 721">
          <a:extLst>
            <a:ext uri="{FF2B5EF4-FFF2-40B4-BE49-F238E27FC236}">
              <a16:creationId xmlns:a16="http://schemas.microsoft.com/office/drawing/2014/main" id="{FCBE96BD-D6B9-4D75-9C4E-F7B021E5BFBE}"/>
            </a:ext>
          </a:extLst>
        </xdr:cNvPr>
        <xdr:cNvSpPr txBox="1"/>
      </xdr:nvSpPr>
      <xdr:spPr>
        <a:xfrm>
          <a:off x="5278967" y="57043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723" name="CaixaDeTexto 722">
          <a:extLst>
            <a:ext uri="{FF2B5EF4-FFF2-40B4-BE49-F238E27FC236}">
              <a16:creationId xmlns:a16="http://schemas.microsoft.com/office/drawing/2014/main" id="{02612CA7-B529-4526-A171-A1805DE5DF98}"/>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724" name="CaixaDeTexto 723">
          <a:extLst>
            <a:ext uri="{FF2B5EF4-FFF2-40B4-BE49-F238E27FC236}">
              <a16:creationId xmlns:a16="http://schemas.microsoft.com/office/drawing/2014/main" id="{03D12F9D-4147-40CF-B277-22424AA7995A}"/>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725" name="CaixaDeTexto 724">
          <a:extLst>
            <a:ext uri="{FF2B5EF4-FFF2-40B4-BE49-F238E27FC236}">
              <a16:creationId xmlns:a16="http://schemas.microsoft.com/office/drawing/2014/main" id="{6F7900BD-DCC9-4419-AD02-42104A3F478D}"/>
            </a:ext>
          </a:extLst>
        </xdr:cNvPr>
        <xdr:cNvSpPr txBox="1"/>
      </xdr:nvSpPr>
      <xdr:spPr>
        <a:xfrm>
          <a:off x="5278967" y="5882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726" name="CaixaDeTexto 725">
          <a:extLst>
            <a:ext uri="{FF2B5EF4-FFF2-40B4-BE49-F238E27FC236}">
              <a16:creationId xmlns:a16="http://schemas.microsoft.com/office/drawing/2014/main" id="{81417F6C-3BA3-4379-9449-50996A36731C}"/>
            </a:ext>
          </a:extLst>
        </xdr:cNvPr>
        <xdr:cNvSpPr txBox="1"/>
      </xdr:nvSpPr>
      <xdr:spPr>
        <a:xfrm>
          <a:off x="5278967" y="59024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727" name="CaixaDeTexto 726">
          <a:extLst>
            <a:ext uri="{FF2B5EF4-FFF2-40B4-BE49-F238E27FC236}">
              <a16:creationId xmlns:a16="http://schemas.microsoft.com/office/drawing/2014/main" id="{1563FB84-1093-4746-8F30-63718403C5FE}"/>
            </a:ext>
          </a:extLst>
        </xdr:cNvPr>
        <xdr:cNvSpPr txBox="1"/>
      </xdr:nvSpPr>
      <xdr:spPr>
        <a:xfrm>
          <a:off x="5278967" y="59024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728" name="CaixaDeTexto 727">
          <a:extLst>
            <a:ext uri="{FF2B5EF4-FFF2-40B4-BE49-F238E27FC236}">
              <a16:creationId xmlns:a16="http://schemas.microsoft.com/office/drawing/2014/main" id="{8075A52A-433F-480E-AB40-0803B8FD5C26}"/>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729" name="CaixaDeTexto 728">
          <a:extLst>
            <a:ext uri="{FF2B5EF4-FFF2-40B4-BE49-F238E27FC236}">
              <a16:creationId xmlns:a16="http://schemas.microsoft.com/office/drawing/2014/main" id="{F743CCC9-0F4B-4239-9B5B-190D5B5BAED0}"/>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730" name="CaixaDeTexto 729">
          <a:extLst>
            <a:ext uri="{FF2B5EF4-FFF2-40B4-BE49-F238E27FC236}">
              <a16:creationId xmlns:a16="http://schemas.microsoft.com/office/drawing/2014/main" id="{437DD43F-120D-4002-A1E7-60A611304FF1}"/>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308</xdr:row>
      <xdr:rowOff>0</xdr:rowOff>
    </xdr:from>
    <xdr:ext cx="184731" cy="264560"/>
    <xdr:sp macro="" textlink="">
      <xdr:nvSpPr>
        <xdr:cNvPr id="731" name="CaixaDeTexto 730">
          <a:extLst>
            <a:ext uri="{FF2B5EF4-FFF2-40B4-BE49-F238E27FC236}">
              <a16:creationId xmlns:a16="http://schemas.microsoft.com/office/drawing/2014/main" id="{3E9263CD-D71A-408A-9D69-72411D16946C}"/>
            </a:ext>
          </a:extLst>
        </xdr:cNvPr>
        <xdr:cNvSpPr txBox="1"/>
      </xdr:nvSpPr>
      <xdr:spPr>
        <a:xfrm>
          <a:off x="5278967" y="604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732" name="CaixaDeTexto 731">
          <a:extLst>
            <a:ext uri="{FF2B5EF4-FFF2-40B4-BE49-F238E27FC236}">
              <a16:creationId xmlns:a16="http://schemas.microsoft.com/office/drawing/2014/main" id="{171D5D69-A4ED-4DCA-A234-A6297357D350}"/>
            </a:ext>
          </a:extLst>
        </xdr:cNvPr>
        <xdr:cNvSpPr txBox="1"/>
      </xdr:nvSpPr>
      <xdr:spPr>
        <a:xfrm>
          <a:off x="5278967" y="87157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3" name="CaixaDeTexto 732">
          <a:extLst>
            <a:ext uri="{FF2B5EF4-FFF2-40B4-BE49-F238E27FC236}">
              <a16:creationId xmlns:a16="http://schemas.microsoft.com/office/drawing/2014/main" id="{9BA8F54D-4A29-41E8-909A-523524FB8AE2}"/>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4" name="CaixaDeTexto 733">
          <a:extLst>
            <a:ext uri="{FF2B5EF4-FFF2-40B4-BE49-F238E27FC236}">
              <a16:creationId xmlns:a16="http://schemas.microsoft.com/office/drawing/2014/main" id="{991EAB03-44CE-4B65-8BDC-00C2BDFD883F}"/>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5" name="CaixaDeTexto 734">
          <a:extLst>
            <a:ext uri="{FF2B5EF4-FFF2-40B4-BE49-F238E27FC236}">
              <a16:creationId xmlns:a16="http://schemas.microsoft.com/office/drawing/2014/main" id="{9369CEC0-FF08-42B0-88EB-45692897447E}"/>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6" name="CaixaDeTexto 735">
          <a:extLst>
            <a:ext uri="{FF2B5EF4-FFF2-40B4-BE49-F238E27FC236}">
              <a16:creationId xmlns:a16="http://schemas.microsoft.com/office/drawing/2014/main" id="{253851E3-20FF-45B7-9EB8-B677F8217823}"/>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7" name="CaixaDeTexto 736">
          <a:extLst>
            <a:ext uri="{FF2B5EF4-FFF2-40B4-BE49-F238E27FC236}">
              <a16:creationId xmlns:a16="http://schemas.microsoft.com/office/drawing/2014/main" id="{35AE7E0B-BAF5-4572-BA69-7E4B92EBBCEC}"/>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8" name="CaixaDeTexto 737">
          <a:extLst>
            <a:ext uri="{FF2B5EF4-FFF2-40B4-BE49-F238E27FC236}">
              <a16:creationId xmlns:a16="http://schemas.microsoft.com/office/drawing/2014/main" id="{8E052B4E-C35F-469F-8C14-61EE17DA0FFE}"/>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39" name="CaixaDeTexto 738">
          <a:extLst>
            <a:ext uri="{FF2B5EF4-FFF2-40B4-BE49-F238E27FC236}">
              <a16:creationId xmlns:a16="http://schemas.microsoft.com/office/drawing/2014/main" id="{7365AAC4-DE92-4C8E-9CE8-D2B58C544A18}"/>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40" name="CaixaDeTexto 739">
          <a:extLst>
            <a:ext uri="{FF2B5EF4-FFF2-40B4-BE49-F238E27FC236}">
              <a16:creationId xmlns:a16="http://schemas.microsoft.com/office/drawing/2014/main" id="{E063B6EC-0871-4866-944B-644CA1FE274C}"/>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41" name="CaixaDeTexto 740">
          <a:extLst>
            <a:ext uri="{FF2B5EF4-FFF2-40B4-BE49-F238E27FC236}">
              <a16:creationId xmlns:a16="http://schemas.microsoft.com/office/drawing/2014/main" id="{61D00E53-E6B8-4A3D-BD97-80300BEBE155}"/>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42" name="CaixaDeTexto 741">
          <a:extLst>
            <a:ext uri="{FF2B5EF4-FFF2-40B4-BE49-F238E27FC236}">
              <a16:creationId xmlns:a16="http://schemas.microsoft.com/office/drawing/2014/main" id="{5A47D62C-44EE-47E5-A00D-844E590A8338}"/>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43" name="CaixaDeTexto 742">
          <a:extLst>
            <a:ext uri="{FF2B5EF4-FFF2-40B4-BE49-F238E27FC236}">
              <a16:creationId xmlns:a16="http://schemas.microsoft.com/office/drawing/2014/main" id="{D8DF60AE-C884-42DC-9316-BDD0740CE911}"/>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444</xdr:row>
      <xdr:rowOff>0</xdr:rowOff>
    </xdr:from>
    <xdr:ext cx="184731" cy="264560"/>
    <xdr:sp macro="" textlink="">
      <xdr:nvSpPr>
        <xdr:cNvPr id="744" name="CaixaDeTexto 743">
          <a:extLst>
            <a:ext uri="{FF2B5EF4-FFF2-40B4-BE49-F238E27FC236}">
              <a16:creationId xmlns:a16="http://schemas.microsoft.com/office/drawing/2014/main" id="{7913200E-9C8F-4326-B9DF-BCF87FE37523}"/>
            </a:ext>
          </a:extLst>
        </xdr:cNvPr>
        <xdr:cNvSpPr txBox="1"/>
      </xdr:nvSpPr>
      <xdr:spPr>
        <a:xfrm>
          <a:off x="5278967" y="885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445</xdr:row>
      <xdr:rowOff>0</xdr:rowOff>
    </xdr:from>
    <xdr:ext cx="184731" cy="264560"/>
    <xdr:sp macro="" textlink="">
      <xdr:nvSpPr>
        <xdr:cNvPr id="745" name="CaixaDeTexto 744">
          <a:extLst>
            <a:ext uri="{FF2B5EF4-FFF2-40B4-BE49-F238E27FC236}">
              <a16:creationId xmlns:a16="http://schemas.microsoft.com/office/drawing/2014/main" id="{51067FBA-1181-44E7-BC0E-8EA9EAFC8201}"/>
            </a:ext>
          </a:extLst>
        </xdr:cNvPr>
        <xdr:cNvSpPr txBox="1"/>
      </xdr:nvSpPr>
      <xdr:spPr>
        <a:xfrm>
          <a:off x="5278967" y="88742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46" name="CaixaDeTexto 745">
          <a:extLst>
            <a:ext uri="{FF2B5EF4-FFF2-40B4-BE49-F238E27FC236}">
              <a16:creationId xmlns:a16="http://schemas.microsoft.com/office/drawing/2014/main" id="{B786F00B-7064-4499-A78E-98F3C89B074C}"/>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445</xdr:row>
      <xdr:rowOff>0</xdr:rowOff>
    </xdr:from>
    <xdr:ext cx="184731" cy="264560"/>
    <xdr:sp macro="" textlink="">
      <xdr:nvSpPr>
        <xdr:cNvPr id="747" name="CaixaDeTexto 746">
          <a:extLst>
            <a:ext uri="{FF2B5EF4-FFF2-40B4-BE49-F238E27FC236}">
              <a16:creationId xmlns:a16="http://schemas.microsoft.com/office/drawing/2014/main" id="{A267E7AA-733D-41BC-A5D9-0BA50E6E4BEF}"/>
            </a:ext>
          </a:extLst>
        </xdr:cNvPr>
        <xdr:cNvSpPr txBox="1"/>
      </xdr:nvSpPr>
      <xdr:spPr>
        <a:xfrm>
          <a:off x="5278967" y="88742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48" name="CaixaDeTexto 747">
          <a:extLst>
            <a:ext uri="{FF2B5EF4-FFF2-40B4-BE49-F238E27FC236}">
              <a16:creationId xmlns:a16="http://schemas.microsoft.com/office/drawing/2014/main" id="{7F34FA08-EAE2-453B-87E6-447B934A7473}"/>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49" name="CaixaDeTexto 748">
          <a:extLst>
            <a:ext uri="{FF2B5EF4-FFF2-40B4-BE49-F238E27FC236}">
              <a16:creationId xmlns:a16="http://schemas.microsoft.com/office/drawing/2014/main" id="{12F93D62-4052-42BC-B261-1A5979BC4CD6}"/>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50" name="CaixaDeTexto 749">
          <a:extLst>
            <a:ext uri="{FF2B5EF4-FFF2-40B4-BE49-F238E27FC236}">
              <a16:creationId xmlns:a16="http://schemas.microsoft.com/office/drawing/2014/main" id="{AAD61674-E1C3-4B83-8977-AC2EC8765497}"/>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51" name="CaixaDeTexto 750">
          <a:extLst>
            <a:ext uri="{FF2B5EF4-FFF2-40B4-BE49-F238E27FC236}">
              <a16:creationId xmlns:a16="http://schemas.microsoft.com/office/drawing/2014/main" id="{10C3D9AA-6D36-4A2F-9C5A-6F4B85677D49}"/>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52" name="CaixaDeTexto 751">
          <a:extLst>
            <a:ext uri="{FF2B5EF4-FFF2-40B4-BE49-F238E27FC236}">
              <a16:creationId xmlns:a16="http://schemas.microsoft.com/office/drawing/2014/main" id="{22EA0266-0C27-49E6-AEC4-95E58DBAAB2D}"/>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53" name="CaixaDeTexto 752">
          <a:extLst>
            <a:ext uri="{FF2B5EF4-FFF2-40B4-BE49-F238E27FC236}">
              <a16:creationId xmlns:a16="http://schemas.microsoft.com/office/drawing/2014/main" id="{40855B9F-6F4D-4207-947C-74CD8FDD8D30}"/>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448</xdr:row>
      <xdr:rowOff>0</xdr:rowOff>
    </xdr:from>
    <xdr:ext cx="184731" cy="264560"/>
    <xdr:sp macro="" textlink="">
      <xdr:nvSpPr>
        <xdr:cNvPr id="754" name="CaixaDeTexto 753">
          <a:extLst>
            <a:ext uri="{FF2B5EF4-FFF2-40B4-BE49-F238E27FC236}">
              <a16:creationId xmlns:a16="http://schemas.microsoft.com/office/drawing/2014/main" id="{DD362B90-8FE2-40FC-8CB3-48578949558C}"/>
            </a:ext>
          </a:extLst>
        </xdr:cNvPr>
        <xdr:cNvSpPr txBox="1"/>
      </xdr:nvSpPr>
      <xdr:spPr>
        <a:xfrm>
          <a:off x="5278967" y="8933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446</xdr:row>
      <xdr:rowOff>0</xdr:rowOff>
    </xdr:from>
    <xdr:ext cx="184731" cy="264560"/>
    <xdr:sp macro="" textlink="">
      <xdr:nvSpPr>
        <xdr:cNvPr id="755" name="CaixaDeTexto 754">
          <a:extLst>
            <a:ext uri="{FF2B5EF4-FFF2-40B4-BE49-F238E27FC236}">
              <a16:creationId xmlns:a16="http://schemas.microsoft.com/office/drawing/2014/main" id="{35066B3B-5923-4510-A1E2-B38B41447F76}"/>
            </a:ext>
          </a:extLst>
        </xdr:cNvPr>
        <xdr:cNvSpPr txBox="1"/>
      </xdr:nvSpPr>
      <xdr:spPr>
        <a:xfrm>
          <a:off x="5278967" y="8894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447</xdr:row>
      <xdr:rowOff>0</xdr:rowOff>
    </xdr:from>
    <xdr:ext cx="184731" cy="264560"/>
    <xdr:sp macro="" textlink="">
      <xdr:nvSpPr>
        <xdr:cNvPr id="756" name="CaixaDeTexto 755">
          <a:extLst>
            <a:ext uri="{FF2B5EF4-FFF2-40B4-BE49-F238E27FC236}">
              <a16:creationId xmlns:a16="http://schemas.microsoft.com/office/drawing/2014/main" id="{B4CB2861-642C-45B2-8D35-F0056FFAA9E3}"/>
            </a:ext>
          </a:extLst>
        </xdr:cNvPr>
        <xdr:cNvSpPr txBox="1"/>
      </xdr:nvSpPr>
      <xdr:spPr>
        <a:xfrm>
          <a:off x="5278967" y="891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57" name="CaixaDeTexto 756">
          <a:extLst>
            <a:ext uri="{FF2B5EF4-FFF2-40B4-BE49-F238E27FC236}">
              <a16:creationId xmlns:a16="http://schemas.microsoft.com/office/drawing/2014/main" id="{9C5DC43E-2D4C-4A3F-ACEF-48EAB56C337C}"/>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58" name="CaixaDeTexto 757">
          <a:extLst>
            <a:ext uri="{FF2B5EF4-FFF2-40B4-BE49-F238E27FC236}">
              <a16:creationId xmlns:a16="http://schemas.microsoft.com/office/drawing/2014/main" id="{A47431C5-CAE2-4DF6-9794-08945265C2A1}"/>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59" name="CaixaDeTexto 758">
          <a:extLst>
            <a:ext uri="{FF2B5EF4-FFF2-40B4-BE49-F238E27FC236}">
              <a16:creationId xmlns:a16="http://schemas.microsoft.com/office/drawing/2014/main" id="{A93B8A2A-A394-4848-B152-396F56A70F2F}"/>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0" name="CaixaDeTexto 759">
          <a:extLst>
            <a:ext uri="{FF2B5EF4-FFF2-40B4-BE49-F238E27FC236}">
              <a16:creationId xmlns:a16="http://schemas.microsoft.com/office/drawing/2014/main" id="{E3806777-EBC4-4D6A-8809-9C8350AD5868}"/>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1" name="CaixaDeTexto 760">
          <a:extLst>
            <a:ext uri="{FF2B5EF4-FFF2-40B4-BE49-F238E27FC236}">
              <a16:creationId xmlns:a16="http://schemas.microsoft.com/office/drawing/2014/main" id="{45E0DBA0-1732-4136-A0E3-87FA121FD92A}"/>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2" name="CaixaDeTexto 761">
          <a:extLst>
            <a:ext uri="{FF2B5EF4-FFF2-40B4-BE49-F238E27FC236}">
              <a16:creationId xmlns:a16="http://schemas.microsoft.com/office/drawing/2014/main" id="{90291AFE-5784-4DC8-90C4-693DAA5C704E}"/>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3" name="CaixaDeTexto 762">
          <a:extLst>
            <a:ext uri="{FF2B5EF4-FFF2-40B4-BE49-F238E27FC236}">
              <a16:creationId xmlns:a16="http://schemas.microsoft.com/office/drawing/2014/main" id="{252DDD7F-A4EA-4C1A-AA94-BD02B578B8C2}"/>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4" name="CaixaDeTexto 763">
          <a:extLst>
            <a:ext uri="{FF2B5EF4-FFF2-40B4-BE49-F238E27FC236}">
              <a16:creationId xmlns:a16="http://schemas.microsoft.com/office/drawing/2014/main" id="{AD17D1AD-3F3A-4741-86D8-1D3A1EFFCDB0}"/>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5" name="CaixaDeTexto 764">
          <a:extLst>
            <a:ext uri="{FF2B5EF4-FFF2-40B4-BE49-F238E27FC236}">
              <a16:creationId xmlns:a16="http://schemas.microsoft.com/office/drawing/2014/main" id="{F2A422AB-A886-4C3E-8786-2851C19550A6}"/>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6" name="CaixaDeTexto 765">
          <a:extLst>
            <a:ext uri="{FF2B5EF4-FFF2-40B4-BE49-F238E27FC236}">
              <a16:creationId xmlns:a16="http://schemas.microsoft.com/office/drawing/2014/main" id="{A3AB21E4-224F-45C9-AFDB-C70448181029}"/>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7" name="CaixaDeTexto 766">
          <a:extLst>
            <a:ext uri="{FF2B5EF4-FFF2-40B4-BE49-F238E27FC236}">
              <a16:creationId xmlns:a16="http://schemas.microsoft.com/office/drawing/2014/main" id="{7684007E-3FBD-4C03-96C8-1DAD030CD857}"/>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8" name="CaixaDeTexto 767">
          <a:extLst>
            <a:ext uri="{FF2B5EF4-FFF2-40B4-BE49-F238E27FC236}">
              <a16:creationId xmlns:a16="http://schemas.microsoft.com/office/drawing/2014/main" id="{8138359F-2C0A-41F5-893E-3EB4535C3D21}"/>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69" name="CaixaDeTexto 768">
          <a:extLst>
            <a:ext uri="{FF2B5EF4-FFF2-40B4-BE49-F238E27FC236}">
              <a16:creationId xmlns:a16="http://schemas.microsoft.com/office/drawing/2014/main" id="{08EFCEBC-B8AE-4636-956A-9694621614D9}"/>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0" name="CaixaDeTexto 769">
          <a:extLst>
            <a:ext uri="{FF2B5EF4-FFF2-40B4-BE49-F238E27FC236}">
              <a16:creationId xmlns:a16="http://schemas.microsoft.com/office/drawing/2014/main" id="{22768632-DC42-41C1-995C-F2D3E1F33EEB}"/>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1" name="CaixaDeTexto 770">
          <a:extLst>
            <a:ext uri="{FF2B5EF4-FFF2-40B4-BE49-F238E27FC236}">
              <a16:creationId xmlns:a16="http://schemas.microsoft.com/office/drawing/2014/main" id="{8DA5A9FF-BD56-489B-B10D-A523DA0D0777}"/>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2" name="CaixaDeTexto 771">
          <a:extLst>
            <a:ext uri="{FF2B5EF4-FFF2-40B4-BE49-F238E27FC236}">
              <a16:creationId xmlns:a16="http://schemas.microsoft.com/office/drawing/2014/main" id="{96FB1412-E2DF-49E2-9D80-9C228DA86E0F}"/>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3" name="CaixaDeTexto 772">
          <a:extLst>
            <a:ext uri="{FF2B5EF4-FFF2-40B4-BE49-F238E27FC236}">
              <a16:creationId xmlns:a16="http://schemas.microsoft.com/office/drawing/2014/main" id="{57D10767-46D2-4D7D-9C6C-5793894B30BF}"/>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4" name="CaixaDeTexto 773">
          <a:extLst>
            <a:ext uri="{FF2B5EF4-FFF2-40B4-BE49-F238E27FC236}">
              <a16:creationId xmlns:a16="http://schemas.microsoft.com/office/drawing/2014/main" id="{03500FB3-69D1-4810-B125-F9659410B072}"/>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5" name="CaixaDeTexto 774">
          <a:extLst>
            <a:ext uri="{FF2B5EF4-FFF2-40B4-BE49-F238E27FC236}">
              <a16:creationId xmlns:a16="http://schemas.microsoft.com/office/drawing/2014/main" id="{1F889116-5D8E-413F-96FA-65F0F8A5A337}"/>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6" name="CaixaDeTexto 775">
          <a:extLst>
            <a:ext uri="{FF2B5EF4-FFF2-40B4-BE49-F238E27FC236}">
              <a16:creationId xmlns:a16="http://schemas.microsoft.com/office/drawing/2014/main" id="{C1152494-0D5D-4E71-91FC-C9D0D8F0AED9}"/>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7" name="CaixaDeTexto 776">
          <a:extLst>
            <a:ext uri="{FF2B5EF4-FFF2-40B4-BE49-F238E27FC236}">
              <a16:creationId xmlns:a16="http://schemas.microsoft.com/office/drawing/2014/main" id="{AF6E141A-B3DD-4312-9247-2AB3641B77F5}"/>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8" name="CaixaDeTexto 777">
          <a:extLst>
            <a:ext uri="{FF2B5EF4-FFF2-40B4-BE49-F238E27FC236}">
              <a16:creationId xmlns:a16="http://schemas.microsoft.com/office/drawing/2014/main" id="{63CCB2EB-67BA-4D60-A0B2-A1EFB8355698}"/>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79" name="CaixaDeTexto 778">
          <a:extLst>
            <a:ext uri="{FF2B5EF4-FFF2-40B4-BE49-F238E27FC236}">
              <a16:creationId xmlns:a16="http://schemas.microsoft.com/office/drawing/2014/main" id="{5E91A821-0473-4007-BCF9-9BEDE126B9B6}"/>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436</xdr:row>
      <xdr:rowOff>0</xdr:rowOff>
    </xdr:from>
    <xdr:ext cx="184731" cy="264560"/>
    <xdr:sp macro="" textlink="">
      <xdr:nvSpPr>
        <xdr:cNvPr id="780" name="CaixaDeTexto 779">
          <a:extLst>
            <a:ext uri="{FF2B5EF4-FFF2-40B4-BE49-F238E27FC236}">
              <a16:creationId xmlns:a16="http://schemas.microsoft.com/office/drawing/2014/main" id="{C6DC08A9-7A17-42D8-9CD1-A9FCE396CF67}"/>
            </a:ext>
          </a:extLst>
        </xdr:cNvPr>
        <xdr:cNvSpPr txBox="1"/>
      </xdr:nvSpPr>
      <xdr:spPr>
        <a:xfrm>
          <a:off x="5278967" y="8695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781" name="CaixaDeTexto 780">
          <a:extLst>
            <a:ext uri="{FF2B5EF4-FFF2-40B4-BE49-F238E27FC236}">
              <a16:creationId xmlns:a16="http://schemas.microsoft.com/office/drawing/2014/main" id="{627134C2-7C70-485A-A816-0AACCF2D68C6}"/>
            </a:ext>
          </a:extLst>
        </xdr:cNvPr>
        <xdr:cNvSpPr txBox="1"/>
      </xdr:nvSpPr>
      <xdr:spPr>
        <a:xfrm>
          <a:off x="5278967" y="87157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2" name="CaixaDeTexto 781">
          <a:extLst>
            <a:ext uri="{FF2B5EF4-FFF2-40B4-BE49-F238E27FC236}">
              <a16:creationId xmlns:a16="http://schemas.microsoft.com/office/drawing/2014/main" id="{168212A1-8FA0-4BF0-97B0-9394ACC0184E}"/>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437</xdr:row>
      <xdr:rowOff>0</xdr:rowOff>
    </xdr:from>
    <xdr:ext cx="184731" cy="264560"/>
    <xdr:sp macro="" textlink="">
      <xdr:nvSpPr>
        <xdr:cNvPr id="783" name="CaixaDeTexto 782">
          <a:extLst>
            <a:ext uri="{FF2B5EF4-FFF2-40B4-BE49-F238E27FC236}">
              <a16:creationId xmlns:a16="http://schemas.microsoft.com/office/drawing/2014/main" id="{E5310767-FF04-4F19-869F-2F852FA0C447}"/>
            </a:ext>
          </a:extLst>
        </xdr:cNvPr>
        <xdr:cNvSpPr txBox="1"/>
      </xdr:nvSpPr>
      <xdr:spPr>
        <a:xfrm>
          <a:off x="5278967" y="87157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4" name="CaixaDeTexto 783">
          <a:extLst>
            <a:ext uri="{FF2B5EF4-FFF2-40B4-BE49-F238E27FC236}">
              <a16:creationId xmlns:a16="http://schemas.microsoft.com/office/drawing/2014/main" id="{012AEC93-AD64-4044-9310-FE319BFDD299}"/>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5" name="CaixaDeTexto 784">
          <a:extLst>
            <a:ext uri="{FF2B5EF4-FFF2-40B4-BE49-F238E27FC236}">
              <a16:creationId xmlns:a16="http://schemas.microsoft.com/office/drawing/2014/main" id="{F1AAD4E7-F9D3-4AE1-977D-D7AC37460E0E}"/>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6" name="CaixaDeTexto 785">
          <a:extLst>
            <a:ext uri="{FF2B5EF4-FFF2-40B4-BE49-F238E27FC236}">
              <a16:creationId xmlns:a16="http://schemas.microsoft.com/office/drawing/2014/main" id="{301353EF-15C7-40E1-8E35-79AA11A91256}"/>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7" name="CaixaDeTexto 786">
          <a:extLst>
            <a:ext uri="{FF2B5EF4-FFF2-40B4-BE49-F238E27FC236}">
              <a16:creationId xmlns:a16="http://schemas.microsoft.com/office/drawing/2014/main" id="{1DB2D826-258E-41A3-A8B4-38CE595D2BB5}"/>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8" name="CaixaDeTexto 787">
          <a:extLst>
            <a:ext uri="{FF2B5EF4-FFF2-40B4-BE49-F238E27FC236}">
              <a16:creationId xmlns:a16="http://schemas.microsoft.com/office/drawing/2014/main" id="{9DE8A1F6-ECAF-40E5-BF31-2DA9CD461CB1}"/>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438</xdr:row>
      <xdr:rowOff>0</xdr:rowOff>
    </xdr:from>
    <xdr:ext cx="184731" cy="264560"/>
    <xdr:sp macro="" textlink="">
      <xdr:nvSpPr>
        <xdr:cNvPr id="789" name="CaixaDeTexto 788">
          <a:extLst>
            <a:ext uri="{FF2B5EF4-FFF2-40B4-BE49-F238E27FC236}">
              <a16:creationId xmlns:a16="http://schemas.microsoft.com/office/drawing/2014/main" id="{16DB506D-BA07-4C36-BB91-B6AB795E2436}"/>
            </a:ext>
          </a:extLst>
        </xdr:cNvPr>
        <xdr:cNvSpPr txBox="1"/>
      </xdr:nvSpPr>
      <xdr:spPr>
        <a:xfrm>
          <a:off x="5278967" y="8735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439</xdr:row>
      <xdr:rowOff>0</xdr:rowOff>
    </xdr:from>
    <xdr:ext cx="184731" cy="264560"/>
    <xdr:sp macro="" textlink="">
      <xdr:nvSpPr>
        <xdr:cNvPr id="790" name="CaixaDeTexto 789">
          <a:extLst>
            <a:ext uri="{FF2B5EF4-FFF2-40B4-BE49-F238E27FC236}">
              <a16:creationId xmlns:a16="http://schemas.microsoft.com/office/drawing/2014/main" id="{3FA3C188-F55C-4C6B-A9B3-A1B9E91D29EB}"/>
            </a:ext>
          </a:extLst>
        </xdr:cNvPr>
        <xdr:cNvSpPr txBox="1"/>
      </xdr:nvSpPr>
      <xdr:spPr>
        <a:xfrm>
          <a:off x="5278967" y="875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1" name="CaixaDeTexto 790">
          <a:extLst>
            <a:ext uri="{FF2B5EF4-FFF2-40B4-BE49-F238E27FC236}">
              <a16:creationId xmlns:a16="http://schemas.microsoft.com/office/drawing/2014/main" id="{ADC5866E-FD48-4141-84E0-D61526AB17AD}"/>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2" name="CaixaDeTexto 791">
          <a:extLst>
            <a:ext uri="{FF2B5EF4-FFF2-40B4-BE49-F238E27FC236}">
              <a16:creationId xmlns:a16="http://schemas.microsoft.com/office/drawing/2014/main" id="{0F8FB9DC-AABC-4D19-9CE8-1B44A70FD7E6}"/>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3" name="CaixaDeTexto 792">
          <a:extLst>
            <a:ext uri="{FF2B5EF4-FFF2-40B4-BE49-F238E27FC236}">
              <a16:creationId xmlns:a16="http://schemas.microsoft.com/office/drawing/2014/main" id="{32578C16-7364-4191-9617-551CBD19D661}"/>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4" name="CaixaDeTexto 793">
          <a:extLst>
            <a:ext uri="{FF2B5EF4-FFF2-40B4-BE49-F238E27FC236}">
              <a16:creationId xmlns:a16="http://schemas.microsoft.com/office/drawing/2014/main" id="{51460EC1-FEA2-4047-86B5-3FA22B1B8950}"/>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5" name="CaixaDeTexto 794">
          <a:extLst>
            <a:ext uri="{FF2B5EF4-FFF2-40B4-BE49-F238E27FC236}">
              <a16:creationId xmlns:a16="http://schemas.microsoft.com/office/drawing/2014/main" id="{196A3FAB-CF40-4249-93A9-FAC5B28A3E7C}"/>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6" name="CaixaDeTexto 795">
          <a:extLst>
            <a:ext uri="{FF2B5EF4-FFF2-40B4-BE49-F238E27FC236}">
              <a16:creationId xmlns:a16="http://schemas.microsoft.com/office/drawing/2014/main" id="{D300F87D-9FE1-4204-8181-951C44F3CAD2}"/>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7" name="CaixaDeTexto 796">
          <a:extLst>
            <a:ext uri="{FF2B5EF4-FFF2-40B4-BE49-F238E27FC236}">
              <a16:creationId xmlns:a16="http://schemas.microsoft.com/office/drawing/2014/main" id="{E27AC64B-55ED-47BB-9C2E-817B9FF24BC5}"/>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8" name="CaixaDeTexto 797">
          <a:extLst>
            <a:ext uri="{FF2B5EF4-FFF2-40B4-BE49-F238E27FC236}">
              <a16:creationId xmlns:a16="http://schemas.microsoft.com/office/drawing/2014/main" id="{A4C22618-F09D-4A67-8DB5-EA593CBC061C}"/>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799" name="CaixaDeTexto 798">
          <a:extLst>
            <a:ext uri="{FF2B5EF4-FFF2-40B4-BE49-F238E27FC236}">
              <a16:creationId xmlns:a16="http://schemas.microsoft.com/office/drawing/2014/main" id="{3EDD0CDD-57B1-4232-8503-8F00C3DFDA8B}"/>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800" name="CaixaDeTexto 799">
          <a:extLst>
            <a:ext uri="{FF2B5EF4-FFF2-40B4-BE49-F238E27FC236}">
              <a16:creationId xmlns:a16="http://schemas.microsoft.com/office/drawing/2014/main" id="{BED14185-1F45-462C-9E81-2F18B8EA4272}"/>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801" name="CaixaDeTexto 800">
          <a:extLst>
            <a:ext uri="{FF2B5EF4-FFF2-40B4-BE49-F238E27FC236}">
              <a16:creationId xmlns:a16="http://schemas.microsoft.com/office/drawing/2014/main" id="{53FE6233-B747-429E-BD3C-F27EA9C57E24}"/>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452</xdr:row>
      <xdr:rowOff>0</xdr:rowOff>
    </xdr:from>
    <xdr:ext cx="184731" cy="264560"/>
    <xdr:sp macro="" textlink="">
      <xdr:nvSpPr>
        <xdr:cNvPr id="802" name="CaixaDeTexto 801">
          <a:extLst>
            <a:ext uri="{FF2B5EF4-FFF2-40B4-BE49-F238E27FC236}">
              <a16:creationId xmlns:a16="http://schemas.microsoft.com/office/drawing/2014/main" id="{73994CE5-1F58-47F0-AD07-B8974B4D9CA6}"/>
            </a:ext>
          </a:extLst>
        </xdr:cNvPr>
        <xdr:cNvSpPr txBox="1"/>
      </xdr:nvSpPr>
      <xdr:spPr>
        <a:xfrm>
          <a:off x="5278967" y="901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453</xdr:row>
      <xdr:rowOff>0</xdr:rowOff>
    </xdr:from>
    <xdr:ext cx="184731" cy="264560"/>
    <xdr:sp macro="" textlink="">
      <xdr:nvSpPr>
        <xdr:cNvPr id="803" name="CaixaDeTexto 802">
          <a:extLst>
            <a:ext uri="{FF2B5EF4-FFF2-40B4-BE49-F238E27FC236}">
              <a16:creationId xmlns:a16="http://schemas.microsoft.com/office/drawing/2014/main" id="{A3922C7C-DF85-455D-9A3D-9AD8DA876C3D}"/>
            </a:ext>
          </a:extLst>
        </xdr:cNvPr>
        <xdr:cNvSpPr txBox="1"/>
      </xdr:nvSpPr>
      <xdr:spPr>
        <a:xfrm>
          <a:off x="5278967" y="90319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04" name="CaixaDeTexto 803">
          <a:extLst>
            <a:ext uri="{FF2B5EF4-FFF2-40B4-BE49-F238E27FC236}">
              <a16:creationId xmlns:a16="http://schemas.microsoft.com/office/drawing/2014/main" id="{0F7DC85B-5E17-4FFB-8729-195534A77A13}"/>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453</xdr:row>
      <xdr:rowOff>0</xdr:rowOff>
    </xdr:from>
    <xdr:ext cx="184731" cy="264560"/>
    <xdr:sp macro="" textlink="">
      <xdr:nvSpPr>
        <xdr:cNvPr id="805" name="CaixaDeTexto 804">
          <a:extLst>
            <a:ext uri="{FF2B5EF4-FFF2-40B4-BE49-F238E27FC236}">
              <a16:creationId xmlns:a16="http://schemas.microsoft.com/office/drawing/2014/main" id="{2A78E7E3-E530-4A3D-9777-5A9CE1FED7C4}"/>
            </a:ext>
          </a:extLst>
        </xdr:cNvPr>
        <xdr:cNvSpPr txBox="1"/>
      </xdr:nvSpPr>
      <xdr:spPr>
        <a:xfrm>
          <a:off x="5278967" y="90319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06" name="CaixaDeTexto 805">
          <a:extLst>
            <a:ext uri="{FF2B5EF4-FFF2-40B4-BE49-F238E27FC236}">
              <a16:creationId xmlns:a16="http://schemas.microsoft.com/office/drawing/2014/main" id="{7987489C-934F-4279-AF14-1E16C3B5BA7F}"/>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07" name="CaixaDeTexto 806">
          <a:extLst>
            <a:ext uri="{FF2B5EF4-FFF2-40B4-BE49-F238E27FC236}">
              <a16:creationId xmlns:a16="http://schemas.microsoft.com/office/drawing/2014/main" id="{505DB89A-4A4E-4CFC-A139-EF0B8E5B671E}"/>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08" name="CaixaDeTexto 807">
          <a:extLst>
            <a:ext uri="{FF2B5EF4-FFF2-40B4-BE49-F238E27FC236}">
              <a16:creationId xmlns:a16="http://schemas.microsoft.com/office/drawing/2014/main" id="{8EADD7B3-715B-4FC1-B354-5B37A9C11DE8}"/>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09" name="CaixaDeTexto 808">
          <a:extLst>
            <a:ext uri="{FF2B5EF4-FFF2-40B4-BE49-F238E27FC236}">
              <a16:creationId xmlns:a16="http://schemas.microsoft.com/office/drawing/2014/main" id="{06A86422-FCB1-4109-B411-0FF212CBB17D}"/>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10" name="CaixaDeTexto 809">
          <a:extLst>
            <a:ext uri="{FF2B5EF4-FFF2-40B4-BE49-F238E27FC236}">
              <a16:creationId xmlns:a16="http://schemas.microsoft.com/office/drawing/2014/main" id="{014C05C9-ACB9-4069-8ACA-9C66E065AF8A}"/>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11" name="CaixaDeTexto 810">
          <a:extLst>
            <a:ext uri="{FF2B5EF4-FFF2-40B4-BE49-F238E27FC236}">
              <a16:creationId xmlns:a16="http://schemas.microsoft.com/office/drawing/2014/main" id="{0D8A2149-030A-44C2-8304-2C6C2C82BD0C}"/>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456</xdr:row>
      <xdr:rowOff>0</xdr:rowOff>
    </xdr:from>
    <xdr:ext cx="184731" cy="264560"/>
    <xdr:sp macro="" textlink="">
      <xdr:nvSpPr>
        <xdr:cNvPr id="812" name="CaixaDeTexto 811">
          <a:extLst>
            <a:ext uri="{FF2B5EF4-FFF2-40B4-BE49-F238E27FC236}">
              <a16:creationId xmlns:a16="http://schemas.microsoft.com/office/drawing/2014/main" id="{B1471611-FEA7-44A4-8E23-8116256D8D17}"/>
            </a:ext>
          </a:extLst>
        </xdr:cNvPr>
        <xdr:cNvSpPr txBox="1"/>
      </xdr:nvSpPr>
      <xdr:spPr>
        <a:xfrm>
          <a:off x="5278967" y="9091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454</xdr:row>
      <xdr:rowOff>0</xdr:rowOff>
    </xdr:from>
    <xdr:ext cx="184731" cy="264560"/>
    <xdr:sp macro="" textlink="">
      <xdr:nvSpPr>
        <xdr:cNvPr id="813" name="CaixaDeTexto 812">
          <a:extLst>
            <a:ext uri="{FF2B5EF4-FFF2-40B4-BE49-F238E27FC236}">
              <a16:creationId xmlns:a16="http://schemas.microsoft.com/office/drawing/2014/main" id="{75DF8336-A333-4C66-A061-5C312DAFB0E6}"/>
            </a:ext>
          </a:extLst>
        </xdr:cNvPr>
        <xdr:cNvSpPr txBox="1"/>
      </xdr:nvSpPr>
      <xdr:spPr>
        <a:xfrm>
          <a:off x="5278967" y="905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455</xdr:row>
      <xdr:rowOff>0</xdr:rowOff>
    </xdr:from>
    <xdr:ext cx="184731" cy="264560"/>
    <xdr:sp macro="" textlink="">
      <xdr:nvSpPr>
        <xdr:cNvPr id="814" name="CaixaDeTexto 813">
          <a:extLst>
            <a:ext uri="{FF2B5EF4-FFF2-40B4-BE49-F238E27FC236}">
              <a16:creationId xmlns:a16="http://schemas.microsoft.com/office/drawing/2014/main" id="{1BF79263-96FD-4A14-A725-438DC15B9E18}"/>
            </a:ext>
          </a:extLst>
        </xdr:cNvPr>
        <xdr:cNvSpPr txBox="1"/>
      </xdr:nvSpPr>
      <xdr:spPr>
        <a:xfrm>
          <a:off x="5278967" y="907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15" name="CaixaDeTexto 814">
          <a:extLst>
            <a:ext uri="{FF2B5EF4-FFF2-40B4-BE49-F238E27FC236}">
              <a16:creationId xmlns:a16="http://schemas.microsoft.com/office/drawing/2014/main" id="{8BA68282-801B-44F4-97E7-BB1B536391B8}"/>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16" name="CaixaDeTexto 815">
          <a:extLst>
            <a:ext uri="{FF2B5EF4-FFF2-40B4-BE49-F238E27FC236}">
              <a16:creationId xmlns:a16="http://schemas.microsoft.com/office/drawing/2014/main" id="{2D0F7E77-C5A6-4DB0-895A-DDC4C28B0FB3}"/>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17" name="CaixaDeTexto 816">
          <a:extLst>
            <a:ext uri="{FF2B5EF4-FFF2-40B4-BE49-F238E27FC236}">
              <a16:creationId xmlns:a16="http://schemas.microsoft.com/office/drawing/2014/main" id="{537F5D53-6A1B-4E5A-B009-930BB0D0C4B0}"/>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18" name="CaixaDeTexto 817">
          <a:extLst>
            <a:ext uri="{FF2B5EF4-FFF2-40B4-BE49-F238E27FC236}">
              <a16:creationId xmlns:a16="http://schemas.microsoft.com/office/drawing/2014/main" id="{D54B8B94-82CB-46C5-BA89-1268937FD97E}"/>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19" name="CaixaDeTexto 818">
          <a:extLst>
            <a:ext uri="{FF2B5EF4-FFF2-40B4-BE49-F238E27FC236}">
              <a16:creationId xmlns:a16="http://schemas.microsoft.com/office/drawing/2014/main" id="{C8A6F416-1789-4A7B-A6E9-A9E01709BC00}"/>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0" name="CaixaDeTexto 819">
          <a:extLst>
            <a:ext uri="{FF2B5EF4-FFF2-40B4-BE49-F238E27FC236}">
              <a16:creationId xmlns:a16="http://schemas.microsoft.com/office/drawing/2014/main" id="{EA03DD7B-A0A1-4B88-A2BF-A8416F0D9101}"/>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1" name="CaixaDeTexto 820">
          <a:extLst>
            <a:ext uri="{FF2B5EF4-FFF2-40B4-BE49-F238E27FC236}">
              <a16:creationId xmlns:a16="http://schemas.microsoft.com/office/drawing/2014/main" id="{DE609089-738A-461C-8B1B-5B61F9515A29}"/>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2" name="CaixaDeTexto 821">
          <a:extLst>
            <a:ext uri="{FF2B5EF4-FFF2-40B4-BE49-F238E27FC236}">
              <a16:creationId xmlns:a16="http://schemas.microsoft.com/office/drawing/2014/main" id="{DC2C43F8-FC69-42D3-8202-6D08715A6D30}"/>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3" name="CaixaDeTexto 822">
          <a:extLst>
            <a:ext uri="{FF2B5EF4-FFF2-40B4-BE49-F238E27FC236}">
              <a16:creationId xmlns:a16="http://schemas.microsoft.com/office/drawing/2014/main" id="{BD130B34-EAF0-47E0-9421-B83E8E80E08A}"/>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4" name="CaixaDeTexto 823">
          <a:extLst>
            <a:ext uri="{FF2B5EF4-FFF2-40B4-BE49-F238E27FC236}">
              <a16:creationId xmlns:a16="http://schemas.microsoft.com/office/drawing/2014/main" id="{92BB7CE0-9934-4170-A50A-E760A2B40A89}"/>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5" name="CaixaDeTexto 824">
          <a:extLst>
            <a:ext uri="{FF2B5EF4-FFF2-40B4-BE49-F238E27FC236}">
              <a16:creationId xmlns:a16="http://schemas.microsoft.com/office/drawing/2014/main" id="{E19251EE-5A52-4DEA-8243-A04DF94B0963}"/>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460</xdr:row>
      <xdr:rowOff>0</xdr:rowOff>
    </xdr:from>
    <xdr:ext cx="184731" cy="264560"/>
    <xdr:sp macro="" textlink="">
      <xdr:nvSpPr>
        <xdr:cNvPr id="826" name="CaixaDeTexto 825">
          <a:extLst>
            <a:ext uri="{FF2B5EF4-FFF2-40B4-BE49-F238E27FC236}">
              <a16:creationId xmlns:a16="http://schemas.microsoft.com/office/drawing/2014/main" id="{228DE295-C54D-449D-8297-31894F652F40}"/>
            </a:ext>
          </a:extLst>
        </xdr:cNvPr>
        <xdr:cNvSpPr txBox="1"/>
      </xdr:nvSpPr>
      <xdr:spPr>
        <a:xfrm>
          <a:off x="5278967" y="9169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461</xdr:row>
      <xdr:rowOff>0</xdr:rowOff>
    </xdr:from>
    <xdr:ext cx="184731" cy="264560"/>
    <xdr:sp macro="" textlink="">
      <xdr:nvSpPr>
        <xdr:cNvPr id="827" name="CaixaDeTexto 826">
          <a:extLst>
            <a:ext uri="{FF2B5EF4-FFF2-40B4-BE49-F238E27FC236}">
              <a16:creationId xmlns:a16="http://schemas.microsoft.com/office/drawing/2014/main" id="{D79EF55E-107E-4D94-B12E-7B0EA4C509B9}"/>
            </a:ext>
          </a:extLst>
        </xdr:cNvPr>
        <xdr:cNvSpPr txBox="1"/>
      </xdr:nvSpPr>
      <xdr:spPr>
        <a:xfrm>
          <a:off x="5278967" y="918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28" name="CaixaDeTexto 827">
          <a:extLst>
            <a:ext uri="{FF2B5EF4-FFF2-40B4-BE49-F238E27FC236}">
              <a16:creationId xmlns:a16="http://schemas.microsoft.com/office/drawing/2014/main" id="{20A598EB-F43B-45AC-A813-11918813D036}"/>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461</xdr:row>
      <xdr:rowOff>0</xdr:rowOff>
    </xdr:from>
    <xdr:ext cx="184731" cy="264560"/>
    <xdr:sp macro="" textlink="">
      <xdr:nvSpPr>
        <xdr:cNvPr id="829" name="CaixaDeTexto 828">
          <a:extLst>
            <a:ext uri="{FF2B5EF4-FFF2-40B4-BE49-F238E27FC236}">
              <a16:creationId xmlns:a16="http://schemas.microsoft.com/office/drawing/2014/main" id="{893741E5-6903-47E9-A4CE-565898711F83}"/>
            </a:ext>
          </a:extLst>
        </xdr:cNvPr>
        <xdr:cNvSpPr txBox="1"/>
      </xdr:nvSpPr>
      <xdr:spPr>
        <a:xfrm>
          <a:off x="5278967" y="918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0" name="CaixaDeTexto 829">
          <a:extLst>
            <a:ext uri="{FF2B5EF4-FFF2-40B4-BE49-F238E27FC236}">
              <a16:creationId xmlns:a16="http://schemas.microsoft.com/office/drawing/2014/main" id="{73A110AA-6635-4CE2-A547-2566E4AA3EC6}"/>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1" name="CaixaDeTexto 830">
          <a:extLst>
            <a:ext uri="{FF2B5EF4-FFF2-40B4-BE49-F238E27FC236}">
              <a16:creationId xmlns:a16="http://schemas.microsoft.com/office/drawing/2014/main" id="{E5FBF1F6-614A-4E39-8BE4-6FAC39113B9C}"/>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2" name="CaixaDeTexto 831">
          <a:extLst>
            <a:ext uri="{FF2B5EF4-FFF2-40B4-BE49-F238E27FC236}">
              <a16:creationId xmlns:a16="http://schemas.microsoft.com/office/drawing/2014/main" id="{B57BB3F7-A379-4EF4-A18D-ABF6FB7B8B7D}"/>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3" name="CaixaDeTexto 832">
          <a:extLst>
            <a:ext uri="{FF2B5EF4-FFF2-40B4-BE49-F238E27FC236}">
              <a16:creationId xmlns:a16="http://schemas.microsoft.com/office/drawing/2014/main" id="{D94D5EAE-626F-4281-B944-6C1FC40B4DAC}"/>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4" name="CaixaDeTexto 833">
          <a:extLst>
            <a:ext uri="{FF2B5EF4-FFF2-40B4-BE49-F238E27FC236}">
              <a16:creationId xmlns:a16="http://schemas.microsoft.com/office/drawing/2014/main" id="{6F147CFE-DC44-4FA9-88AF-8D0DC838C5FC}"/>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5" name="CaixaDeTexto 834">
          <a:extLst>
            <a:ext uri="{FF2B5EF4-FFF2-40B4-BE49-F238E27FC236}">
              <a16:creationId xmlns:a16="http://schemas.microsoft.com/office/drawing/2014/main" id="{4F626109-7946-4732-AC52-8E6F07A0DFE0}"/>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464</xdr:row>
      <xdr:rowOff>0</xdr:rowOff>
    </xdr:from>
    <xdr:ext cx="184731" cy="264560"/>
    <xdr:sp macro="" textlink="">
      <xdr:nvSpPr>
        <xdr:cNvPr id="836" name="CaixaDeTexto 835">
          <a:extLst>
            <a:ext uri="{FF2B5EF4-FFF2-40B4-BE49-F238E27FC236}">
              <a16:creationId xmlns:a16="http://schemas.microsoft.com/office/drawing/2014/main" id="{2E429270-3844-4104-ADDA-EF41487E74A6}"/>
            </a:ext>
          </a:extLst>
        </xdr:cNvPr>
        <xdr:cNvSpPr txBox="1"/>
      </xdr:nvSpPr>
      <xdr:spPr>
        <a:xfrm>
          <a:off x="5278967" y="9249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7" name="CaixaDeTexto 836">
          <a:extLst>
            <a:ext uri="{FF2B5EF4-FFF2-40B4-BE49-F238E27FC236}">
              <a16:creationId xmlns:a16="http://schemas.microsoft.com/office/drawing/2014/main" id="{F9486D46-6A4E-4661-8DFE-379C147528B9}"/>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463</xdr:row>
      <xdr:rowOff>0</xdr:rowOff>
    </xdr:from>
    <xdr:ext cx="184731" cy="264560"/>
    <xdr:sp macro="" textlink="">
      <xdr:nvSpPr>
        <xdr:cNvPr id="838" name="CaixaDeTexto 837">
          <a:extLst>
            <a:ext uri="{FF2B5EF4-FFF2-40B4-BE49-F238E27FC236}">
              <a16:creationId xmlns:a16="http://schemas.microsoft.com/office/drawing/2014/main" id="{8BD1BAED-7AC0-481F-907E-0DD588C01D3B}"/>
            </a:ext>
          </a:extLst>
        </xdr:cNvPr>
        <xdr:cNvSpPr txBox="1"/>
      </xdr:nvSpPr>
      <xdr:spPr>
        <a:xfrm>
          <a:off x="5278967" y="92293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39" name="CaixaDeTexto 838">
          <a:extLst>
            <a:ext uri="{FF2B5EF4-FFF2-40B4-BE49-F238E27FC236}">
              <a16:creationId xmlns:a16="http://schemas.microsoft.com/office/drawing/2014/main" id="{9F530C6F-2CC5-4FD4-9FDA-D47688312DF0}"/>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0" name="CaixaDeTexto 839">
          <a:extLst>
            <a:ext uri="{FF2B5EF4-FFF2-40B4-BE49-F238E27FC236}">
              <a16:creationId xmlns:a16="http://schemas.microsoft.com/office/drawing/2014/main" id="{AD2BED80-039B-4AEC-8ADB-5A7AF0CC0BCD}"/>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1" name="CaixaDeTexto 840">
          <a:extLst>
            <a:ext uri="{FF2B5EF4-FFF2-40B4-BE49-F238E27FC236}">
              <a16:creationId xmlns:a16="http://schemas.microsoft.com/office/drawing/2014/main" id="{79269713-B7D9-4B76-BA5F-38161F33E7E7}"/>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2" name="CaixaDeTexto 841">
          <a:extLst>
            <a:ext uri="{FF2B5EF4-FFF2-40B4-BE49-F238E27FC236}">
              <a16:creationId xmlns:a16="http://schemas.microsoft.com/office/drawing/2014/main" id="{769122BD-B646-4ADD-BFFC-7FF025DDD897}"/>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3" name="CaixaDeTexto 842">
          <a:extLst>
            <a:ext uri="{FF2B5EF4-FFF2-40B4-BE49-F238E27FC236}">
              <a16:creationId xmlns:a16="http://schemas.microsoft.com/office/drawing/2014/main" id="{A0B812D8-0E11-49C5-9959-7721B25CD40F}"/>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4" name="CaixaDeTexto 843">
          <a:extLst>
            <a:ext uri="{FF2B5EF4-FFF2-40B4-BE49-F238E27FC236}">
              <a16:creationId xmlns:a16="http://schemas.microsoft.com/office/drawing/2014/main" id="{C75E59DC-4419-4177-B07F-E8103382F1C0}"/>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5" name="CaixaDeTexto 844">
          <a:extLst>
            <a:ext uri="{FF2B5EF4-FFF2-40B4-BE49-F238E27FC236}">
              <a16:creationId xmlns:a16="http://schemas.microsoft.com/office/drawing/2014/main" id="{F90EDE3F-2532-4482-8194-566AE32AFAA5}"/>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462</xdr:row>
      <xdr:rowOff>0</xdr:rowOff>
    </xdr:from>
    <xdr:ext cx="184731" cy="264560"/>
    <xdr:sp macro="" textlink="">
      <xdr:nvSpPr>
        <xdr:cNvPr id="846" name="CaixaDeTexto 845">
          <a:extLst>
            <a:ext uri="{FF2B5EF4-FFF2-40B4-BE49-F238E27FC236}">
              <a16:creationId xmlns:a16="http://schemas.microsoft.com/office/drawing/2014/main" id="{AC3E2E37-A0CA-4830-ABA7-5A2F811BC531}"/>
            </a:ext>
          </a:extLst>
        </xdr:cNvPr>
        <xdr:cNvSpPr txBox="1"/>
      </xdr:nvSpPr>
      <xdr:spPr>
        <a:xfrm>
          <a:off x="5278967" y="920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463</xdr:row>
      <xdr:rowOff>0</xdr:rowOff>
    </xdr:from>
    <xdr:ext cx="184731" cy="264560"/>
    <xdr:sp macro="" textlink="">
      <xdr:nvSpPr>
        <xdr:cNvPr id="847" name="CaixaDeTexto 846">
          <a:extLst>
            <a:ext uri="{FF2B5EF4-FFF2-40B4-BE49-F238E27FC236}">
              <a16:creationId xmlns:a16="http://schemas.microsoft.com/office/drawing/2014/main" id="{375773DF-3F8B-441D-9BBA-92299EA21098}"/>
            </a:ext>
          </a:extLst>
        </xdr:cNvPr>
        <xdr:cNvSpPr txBox="1"/>
      </xdr:nvSpPr>
      <xdr:spPr>
        <a:xfrm>
          <a:off x="5278967" y="92293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848" name="CaixaDeTexto 847">
          <a:extLst>
            <a:ext uri="{FF2B5EF4-FFF2-40B4-BE49-F238E27FC236}">
              <a16:creationId xmlns:a16="http://schemas.microsoft.com/office/drawing/2014/main" id="{90AEB9D4-36A4-42DF-86BA-6C16E9D890D4}"/>
            </a:ext>
          </a:extLst>
        </xdr:cNvPr>
        <xdr:cNvSpPr txBox="1"/>
      </xdr:nvSpPr>
      <xdr:spPr>
        <a:xfrm>
          <a:off x="5278967" y="63581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348</xdr:row>
      <xdr:rowOff>0</xdr:rowOff>
    </xdr:from>
    <xdr:ext cx="184731" cy="264560"/>
    <xdr:sp macro="" textlink="">
      <xdr:nvSpPr>
        <xdr:cNvPr id="849" name="CaixaDeTexto 848">
          <a:extLst>
            <a:ext uri="{FF2B5EF4-FFF2-40B4-BE49-F238E27FC236}">
              <a16:creationId xmlns:a16="http://schemas.microsoft.com/office/drawing/2014/main" id="{42CB7D98-451B-48B5-9456-CFA7A524D124}"/>
            </a:ext>
          </a:extLst>
        </xdr:cNvPr>
        <xdr:cNvSpPr txBox="1"/>
      </xdr:nvSpPr>
      <xdr:spPr>
        <a:xfrm>
          <a:off x="5278967" y="68336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850" name="CaixaDeTexto 849">
          <a:extLst>
            <a:ext uri="{FF2B5EF4-FFF2-40B4-BE49-F238E27FC236}">
              <a16:creationId xmlns:a16="http://schemas.microsoft.com/office/drawing/2014/main" id="{76251F3C-2DFF-4442-A2F6-3A9A20E6B003}"/>
            </a:ext>
          </a:extLst>
        </xdr:cNvPr>
        <xdr:cNvSpPr txBox="1"/>
      </xdr:nvSpPr>
      <xdr:spPr>
        <a:xfrm>
          <a:off x="5278967"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356</xdr:row>
      <xdr:rowOff>0</xdr:rowOff>
    </xdr:from>
    <xdr:ext cx="184731" cy="264560"/>
    <xdr:sp macro="" textlink="">
      <xdr:nvSpPr>
        <xdr:cNvPr id="851" name="CaixaDeTexto 850">
          <a:extLst>
            <a:ext uri="{FF2B5EF4-FFF2-40B4-BE49-F238E27FC236}">
              <a16:creationId xmlns:a16="http://schemas.microsoft.com/office/drawing/2014/main" id="{AD45E67E-4354-43F0-8B93-4C05E491820E}"/>
            </a:ext>
          </a:extLst>
        </xdr:cNvPr>
        <xdr:cNvSpPr txBox="1"/>
      </xdr:nvSpPr>
      <xdr:spPr>
        <a:xfrm>
          <a:off x="5278967"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357</xdr:row>
      <xdr:rowOff>0</xdr:rowOff>
    </xdr:from>
    <xdr:ext cx="184731" cy="264560"/>
    <xdr:sp macro="" textlink="">
      <xdr:nvSpPr>
        <xdr:cNvPr id="852" name="CaixaDeTexto 851">
          <a:extLst>
            <a:ext uri="{FF2B5EF4-FFF2-40B4-BE49-F238E27FC236}">
              <a16:creationId xmlns:a16="http://schemas.microsoft.com/office/drawing/2014/main" id="{B36BF144-1283-4CE4-AB4E-AF7AAAAE6913}"/>
            </a:ext>
          </a:extLst>
        </xdr:cNvPr>
        <xdr:cNvSpPr txBox="1"/>
      </xdr:nvSpPr>
      <xdr:spPr>
        <a:xfrm>
          <a:off x="5278967" y="7011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853" name="CaixaDeTexto 852">
          <a:extLst>
            <a:ext uri="{FF2B5EF4-FFF2-40B4-BE49-F238E27FC236}">
              <a16:creationId xmlns:a16="http://schemas.microsoft.com/office/drawing/2014/main" id="{D0530196-FCEE-4143-BE9B-5963C1D7CCF8}"/>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854" name="CaixaDeTexto 853">
          <a:extLst>
            <a:ext uri="{FF2B5EF4-FFF2-40B4-BE49-F238E27FC236}">
              <a16:creationId xmlns:a16="http://schemas.microsoft.com/office/drawing/2014/main" id="{F6BF3946-D754-41C0-A015-6C3695F06CF4}"/>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364</xdr:row>
      <xdr:rowOff>0</xdr:rowOff>
    </xdr:from>
    <xdr:ext cx="184731" cy="264560"/>
    <xdr:sp macro="" textlink="">
      <xdr:nvSpPr>
        <xdr:cNvPr id="855" name="CaixaDeTexto 854">
          <a:extLst>
            <a:ext uri="{FF2B5EF4-FFF2-40B4-BE49-F238E27FC236}">
              <a16:creationId xmlns:a16="http://schemas.microsoft.com/office/drawing/2014/main" id="{AB1A4887-0CEC-4947-93D0-A359D28EA858}"/>
            </a:ext>
          </a:extLst>
        </xdr:cNvPr>
        <xdr:cNvSpPr txBox="1"/>
      </xdr:nvSpPr>
      <xdr:spPr>
        <a:xfrm>
          <a:off x="5278967" y="717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372</xdr:row>
      <xdr:rowOff>0</xdr:rowOff>
    </xdr:from>
    <xdr:ext cx="184731" cy="264560"/>
    <xdr:sp macro="" textlink="">
      <xdr:nvSpPr>
        <xdr:cNvPr id="856" name="CaixaDeTexto 855">
          <a:extLst>
            <a:ext uri="{FF2B5EF4-FFF2-40B4-BE49-F238E27FC236}">
              <a16:creationId xmlns:a16="http://schemas.microsoft.com/office/drawing/2014/main" id="{86F6E593-681E-433D-B520-81D0D6E305FA}"/>
            </a:ext>
          </a:extLst>
        </xdr:cNvPr>
        <xdr:cNvSpPr txBox="1"/>
      </xdr:nvSpPr>
      <xdr:spPr>
        <a:xfrm>
          <a:off x="5278967" y="7328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857" name="CaixaDeTexto 856">
          <a:extLst>
            <a:ext uri="{FF2B5EF4-FFF2-40B4-BE49-F238E27FC236}">
              <a16:creationId xmlns:a16="http://schemas.microsoft.com/office/drawing/2014/main" id="{834B6D5E-887F-4D95-A475-C0A480C8E008}"/>
            </a:ext>
          </a:extLst>
        </xdr:cNvPr>
        <xdr:cNvSpPr txBox="1"/>
      </xdr:nvSpPr>
      <xdr:spPr>
        <a:xfrm>
          <a:off x="5278967" y="7487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380</xdr:row>
      <xdr:rowOff>0</xdr:rowOff>
    </xdr:from>
    <xdr:ext cx="184731" cy="264560"/>
    <xdr:sp macro="" textlink="">
      <xdr:nvSpPr>
        <xdr:cNvPr id="858" name="CaixaDeTexto 857">
          <a:extLst>
            <a:ext uri="{FF2B5EF4-FFF2-40B4-BE49-F238E27FC236}">
              <a16:creationId xmlns:a16="http://schemas.microsoft.com/office/drawing/2014/main" id="{542C48FC-FA03-4F35-AD8E-9AC1DFB5D42D}"/>
            </a:ext>
          </a:extLst>
        </xdr:cNvPr>
        <xdr:cNvSpPr txBox="1"/>
      </xdr:nvSpPr>
      <xdr:spPr>
        <a:xfrm>
          <a:off x="5278967" y="7487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381</xdr:row>
      <xdr:rowOff>0</xdr:rowOff>
    </xdr:from>
    <xdr:ext cx="184731" cy="264560"/>
    <xdr:sp macro="" textlink="">
      <xdr:nvSpPr>
        <xdr:cNvPr id="859" name="CaixaDeTexto 858">
          <a:extLst>
            <a:ext uri="{FF2B5EF4-FFF2-40B4-BE49-F238E27FC236}">
              <a16:creationId xmlns:a16="http://schemas.microsoft.com/office/drawing/2014/main" id="{6F96EE15-EF29-4367-A069-27B5AC0AFCED}"/>
            </a:ext>
          </a:extLst>
        </xdr:cNvPr>
        <xdr:cNvSpPr txBox="1"/>
      </xdr:nvSpPr>
      <xdr:spPr>
        <a:xfrm>
          <a:off x="5278967" y="7507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383</xdr:row>
      <xdr:rowOff>0</xdr:rowOff>
    </xdr:from>
    <xdr:ext cx="184731" cy="264560"/>
    <xdr:sp macro="" textlink="">
      <xdr:nvSpPr>
        <xdr:cNvPr id="860" name="CaixaDeTexto 859">
          <a:extLst>
            <a:ext uri="{FF2B5EF4-FFF2-40B4-BE49-F238E27FC236}">
              <a16:creationId xmlns:a16="http://schemas.microsoft.com/office/drawing/2014/main" id="{F742F629-AD10-437B-B831-34126C325055}"/>
            </a:ext>
          </a:extLst>
        </xdr:cNvPr>
        <xdr:cNvSpPr txBox="1"/>
      </xdr:nvSpPr>
      <xdr:spPr>
        <a:xfrm>
          <a:off x="5278967" y="756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383</xdr:row>
      <xdr:rowOff>0</xdr:rowOff>
    </xdr:from>
    <xdr:ext cx="184731" cy="264560"/>
    <xdr:sp macro="" textlink="">
      <xdr:nvSpPr>
        <xdr:cNvPr id="861" name="CaixaDeTexto 860">
          <a:extLst>
            <a:ext uri="{FF2B5EF4-FFF2-40B4-BE49-F238E27FC236}">
              <a16:creationId xmlns:a16="http://schemas.microsoft.com/office/drawing/2014/main" id="{C6BC50C5-3D67-4E5B-8404-FDFD74D49C9A}"/>
            </a:ext>
          </a:extLst>
        </xdr:cNvPr>
        <xdr:cNvSpPr txBox="1"/>
      </xdr:nvSpPr>
      <xdr:spPr>
        <a:xfrm>
          <a:off x="5278967" y="7546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396</xdr:row>
      <xdr:rowOff>0</xdr:rowOff>
    </xdr:from>
    <xdr:ext cx="184731" cy="264560"/>
    <xdr:sp macro="" textlink="">
      <xdr:nvSpPr>
        <xdr:cNvPr id="862" name="CaixaDeTexto 861">
          <a:extLst>
            <a:ext uri="{FF2B5EF4-FFF2-40B4-BE49-F238E27FC236}">
              <a16:creationId xmlns:a16="http://schemas.microsoft.com/office/drawing/2014/main" id="{827A34F9-4FB4-4C07-9BE0-47A86ABD9ABC}"/>
            </a:ext>
          </a:extLst>
        </xdr:cNvPr>
        <xdr:cNvSpPr txBox="1"/>
      </xdr:nvSpPr>
      <xdr:spPr>
        <a:xfrm>
          <a:off x="5278967" y="7844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397</xdr:row>
      <xdr:rowOff>0</xdr:rowOff>
    </xdr:from>
    <xdr:ext cx="184731" cy="264560"/>
    <xdr:sp macro="" textlink="">
      <xdr:nvSpPr>
        <xdr:cNvPr id="863" name="CaixaDeTexto 862">
          <a:extLst>
            <a:ext uri="{FF2B5EF4-FFF2-40B4-BE49-F238E27FC236}">
              <a16:creationId xmlns:a16="http://schemas.microsoft.com/office/drawing/2014/main" id="{4B7C73ED-FC8E-4476-A8DE-E0AB3590EBF5}"/>
            </a:ext>
          </a:extLst>
        </xdr:cNvPr>
        <xdr:cNvSpPr txBox="1"/>
      </xdr:nvSpPr>
      <xdr:spPr>
        <a:xfrm>
          <a:off x="5278967" y="786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864" name="CaixaDeTexto 863">
          <a:extLst>
            <a:ext uri="{FF2B5EF4-FFF2-40B4-BE49-F238E27FC236}">
              <a16:creationId xmlns:a16="http://schemas.microsoft.com/office/drawing/2014/main" id="{0DC12515-DC66-4405-BEF7-9F91CA737F02}"/>
            </a:ext>
          </a:extLst>
        </xdr:cNvPr>
        <xdr:cNvSpPr txBox="1"/>
      </xdr:nvSpPr>
      <xdr:spPr>
        <a:xfrm>
          <a:off x="5278967" y="80223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404</xdr:row>
      <xdr:rowOff>0</xdr:rowOff>
    </xdr:from>
    <xdr:ext cx="184731" cy="264560"/>
    <xdr:sp macro="" textlink="">
      <xdr:nvSpPr>
        <xdr:cNvPr id="865" name="CaixaDeTexto 864">
          <a:extLst>
            <a:ext uri="{FF2B5EF4-FFF2-40B4-BE49-F238E27FC236}">
              <a16:creationId xmlns:a16="http://schemas.microsoft.com/office/drawing/2014/main" id="{136ABA22-1E90-42C9-B290-4B2EC756107D}"/>
            </a:ext>
          </a:extLst>
        </xdr:cNvPr>
        <xdr:cNvSpPr txBox="1"/>
      </xdr:nvSpPr>
      <xdr:spPr>
        <a:xfrm>
          <a:off x="5278967" y="80025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405</xdr:row>
      <xdr:rowOff>0</xdr:rowOff>
    </xdr:from>
    <xdr:ext cx="184731" cy="264560"/>
    <xdr:sp macro="" textlink="">
      <xdr:nvSpPr>
        <xdr:cNvPr id="866" name="CaixaDeTexto 865">
          <a:extLst>
            <a:ext uri="{FF2B5EF4-FFF2-40B4-BE49-F238E27FC236}">
              <a16:creationId xmlns:a16="http://schemas.microsoft.com/office/drawing/2014/main" id="{E8659E21-F709-47B7-9D86-3D082DE0B4E5}"/>
            </a:ext>
          </a:extLst>
        </xdr:cNvPr>
        <xdr:cNvSpPr txBox="1"/>
      </xdr:nvSpPr>
      <xdr:spPr>
        <a:xfrm>
          <a:off x="5278967" y="80223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406</xdr:row>
      <xdr:rowOff>0</xdr:rowOff>
    </xdr:from>
    <xdr:ext cx="184731" cy="264560"/>
    <xdr:sp macro="" textlink="">
      <xdr:nvSpPr>
        <xdr:cNvPr id="867" name="CaixaDeTexto 866">
          <a:extLst>
            <a:ext uri="{FF2B5EF4-FFF2-40B4-BE49-F238E27FC236}">
              <a16:creationId xmlns:a16="http://schemas.microsoft.com/office/drawing/2014/main" id="{4FCA4E27-BB4C-45D9-AE58-F1A6BA583B32}"/>
            </a:ext>
          </a:extLst>
        </xdr:cNvPr>
        <xdr:cNvSpPr txBox="1"/>
      </xdr:nvSpPr>
      <xdr:spPr>
        <a:xfrm>
          <a:off x="5278967" y="8042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868" name="CaixaDeTexto 867">
          <a:extLst>
            <a:ext uri="{FF2B5EF4-FFF2-40B4-BE49-F238E27FC236}">
              <a16:creationId xmlns:a16="http://schemas.microsoft.com/office/drawing/2014/main" id="{70ADB5D7-F113-4A73-9585-BDA2E8993C02}"/>
            </a:ext>
          </a:extLst>
        </xdr:cNvPr>
        <xdr:cNvSpPr txBox="1"/>
      </xdr:nvSpPr>
      <xdr:spPr>
        <a:xfrm>
          <a:off x="5278967" y="8180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69" name="CaixaDeTexto 868">
          <a:extLst>
            <a:ext uri="{FF2B5EF4-FFF2-40B4-BE49-F238E27FC236}">
              <a16:creationId xmlns:a16="http://schemas.microsoft.com/office/drawing/2014/main" id="{000D6A42-E2A1-4164-974A-8C378E3B0BB5}"/>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413</xdr:row>
      <xdr:rowOff>0</xdr:rowOff>
    </xdr:from>
    <xdr:ext cx="184731" cy="264560"/>
    <xdr:sp macro="" textlink="">
      <xdr:nvSpPr>
        <xdr:cNvPr id="870" name="CaixaDeTexto 869">
          <a:extLst>
            <a:ext uri="{FF2B5EF4-FFF2-40B4-BE49-F238E27FC236}">
              <a16:creationId xmlns:a16="http://schemas.microsoft.com/office/drawing/2014/main" id="{F6080E90-BB8C-4733-83D0-21882D2F8EE6}"/>
            </a:ext>
          </a:extLst>
        </xdr:cNvPr>
        <xdr:cNvSpPr txBox="1"/>
      </xdr:nvSpPr>
      <xdr:spPr>
        <a:xfrm>
          <a:off x="5278967" y="8180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1" name="CaixaDeTexto 870">
          <a:extLst>
            <a:ext uri="{FF2B5EF4-FFF2-40B4-BE49-F238E27FC236}">
              <a16:creationId xmlns:a16="http://schemas.microsoft.com/office/drawing/2014/main" id="{AB78939D-9CC6-4703-9EA6-5FFC52847C86}"/>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2" name="CaixaDeTexto 871">
          <a:extLst>
            <a:ext uri="{FF2B5EF4-FFF2-40B4-BE49-F238E27FC236}">
              <a16:creationId xmlns:a16="http://schemas.microsoft.com/office/drawing/2014/main" id="{CA807C30-4411-4EF1-9ACE-2C319F826AAD}"/>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3" name="CaixaDeTexto 872">
          <a:extLst>
            <a:ext uri="{FF2B5EF4-FFF2-40B4-BE49-F238E27FC236}">
              <a16:creationId xmlns:a16="http://schemas.microsoft.com/office/drawing/2014/main" id="{E21B01C0-3FF9-4EEF-B156-B2028E81E44C}"/>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4" name="CaixaDeTexto 873">
          <a:extLst>
            <a:ext uri="{FF2B5EF4-FFF2-40B4-BE49-F238E27FC236}">
              <a16:creationId xmlns:a16="http://schemas.microsoft.com/office/drawing/2014/main" id="{F8F81ACC-6EFD-43E9-96D5-27E8081077EE}"/>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5" name="CaixaDeTexto 874">
          <a:extLst>
            <a:ext uri="{FF2B5EF4-FFF2-40B4-BE49-F238E27FC236}">
              <a16:creationId xmlns:a16="http://schemas.microsoft.com/office/drawing/2014/main" id="{34537C8C-E411-4F86-8EDE-33E6D7EEBBC0}"/>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6" name="CaixaDeTexto 875">
          <a:extLst>
            <a:ext uri="{FF2B5EF4-FFF2-40B4-BE49-F238E27FC236}">
              <a16:creationId xmlns:a16="http://schemas.microsoft.com/office/drawing/2014/main" id="{98471056-04BB-4FBC-B355-239607307088}"/>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415</xdr:row>
      <xdr:rowOff>0</xdr:rowOff>
    </xdr:from>
    <xdr:ext cx="184731" cy="264560"/>
    <xdr:sp macro="" textlink="">
      <xdr:nvSpPr>
        <xdr:cNvPr id="877" name="CaixaDeTexto 876">
          <a:extLst>
            <a:ext uri="{FF2B5EF4-FFF2-40B4-BE49-F238E27FC236}">
              <a16:creationId xmlns:a16="http://schemas.microsoft.com/office/drawing/2014/main" id="{3FBF1B14-0B4D-4C28-88B6-F5CAD7939A6B}"/>
            </a:ext>
          </a:extLst>
        </xdr:cNvPr>
        <xdr:cNvSpPr txBox="1"/>
      </xdr:nvSpPr>
      <xdr:spPr>
        <a:xfrm>
          <a:off x="5278967" y="82402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414</xdr:row>
      <xdr:rowOff>0</xdr:rowOff>
    </xdr:from>
    <xdr:ext cx="184731" cy="264560"/>
    <xdr:sp macro="" textlink="">
      <xdr:nvSpPr>
        <xdr:cNvPr id="878" name="CaixaDeTexto 877">
          <a:extLst>
            <a:ext uri="{FF2B5EF4-FFF2-40B4-BE49-F238E27FC236}">
              <a16:creationId xmlns:a16="http://schemas.microsoft.com/office/drawing/2014/main" id="{379A3AC3-187E-4059-A064-CA6E1F94A03B}"/>
            </a:ext>
          </a:extLst>
        </xdr:cNvPr>
        <xdr:cNvSpPr txBox="1"/>
      </xdr:nvSpPr>
      <xdr:spPr>
        <a:xfrm>
          <a:off x="5278967" y="8200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415</xdr:row>
      <xdr:rowOff>0</xdr:rowOff>
    </xdr:from>
    <xdr:ext cx="184731" cy="264560"/>
    <xdr:sp macro="" textlink="">
      <xdr:nvSpPr>
        <xdr:cNvPr id="879" name="CaixaDeTexto 878">
          <a:extLst>
            <a:ext uri="{FF2B5EF4-FFF2-40B4-BE49-F238E27FC236}">
              <a16:creationId xmlns:a16="http://schemas.microsoft.com/office/drawing/2014/main" id="{8588E37C-726E-41FA-B938-1D32BBD0A57E}"/>
            </a:ext>
          </a:extLst>
        </xdr:cNvPr>
        <xdr:cNvSpPr txBox="1"/>
      </xdr:nvSpPr>
      <xdr:spPr>
        <a:xfrm>
          <a:off x="5278967" y="8220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880" name="CaixaDeTexto 879">
          <a:extLst>
            <a:ext uri="{FF2B5EF4-FFF2-40B4-BE49-F238E27FC236}">
              <a16:creationId xmlns:a16="http://schemas.microsoft.com/office/drawing/2014/main" id="{CA7D44AA-E8E7-4E24-B92B-B982C9EE07CF}"/>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881" name="CaixaDeTexto 880">
          <a:extLst>
            <a:ext uri="{FF2B5EF4-FFF2-40B4-BE49-F238E27FC236}">
              <a16:creationId xmlns:a16="http://schemas.microsoft.com/office/drawing/2014/main" id="{B888C401-B082-4DA3-9ED5-5DCB42F38744}"/>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882" name="CaixaDeTexto 881">
          <a:extLst>
            <a:ext uri="{FF2B5EF4-FFF2-40B4-BE49-F238E27FC236}">
              <a16:creationId xmlns:a16="http://schemas.microsoft.com/office/drawing/2014/main" id="{793D88E4-A647-4225-93CD-AE47D698247C}"/>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421</xdr:row>
      <xdr:rowOff>0</xdr:rowOff>
    </xdr:from>
    <xdr:ext cx="184731" cy="264560"/>
    <xdr:sp macro="" textlink="">
      <xdr:nvSpPr>
        <xdr:cNvPr id="883" name="CaixaDeTexto 882">
          <a:extLst>
            <a:ext uri="{FF2B5EF4-FFF2-40B4-BE49-F238E27FC236}">
              <a16:creationId xmlns:a16="http://schemas.microsoft.com/office/drawing/2014/main" id="{7F59F174-3443-4308-A0A5-B5B2FE5C93E9}"/>
            </a:ext>
          </a:extLst>
        </xdr:cNvPr>
        <xdr:cNvSpPr txBox="1"/>
      </xdr:nvSpPr>
      <xdr:spPr>
        <a:xfrm>
          <a:off x="5278967" y="835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423</xdr:row>
      <xdr:rowOff>0</xdr:rowOff>
    </xdr:from>
    <xdr:ext cx="184731" cy="264560"/>
    <xdr:sp macro="" textlink="">
      <xdr:nvSpPr>
        <xdr:cNvPr id="884" name="CaixaDeTexto 883">
          <a:extLst>
            <a:ext uri="{FF2B5EF4-FFF2-40B4-BE49-F238E27FC236}">
              <a16:creationId xmlns:a16="http://schemas.microsoft.com/office/drawing/2014/main" id="{F872EC8A-1A36-4B8F-B271-6ABF57BF58CF}"/>
            </a:ext>
          </a:extLst>
        </xdr:cNvPr>
        <xdr:cNvSpPr txBox="1"/>
      </xdr:nvSpPr>
      <xdr:spPr>
        <a:xfrm>
          <a:off x="5278967" y="83987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885" name="CaixaDeTexto 884">
          <a:extLst>
            <a:ext uri="{FF2B5EF4-FFF2-40B4-BE49-F238E27FC236}">
              <a16:creationId xmlns:a16="http://schemas.microsoft.com/office/drawing/2014/main" id="{7D47224D-FC2D-450B-9BC0-1369BFCE86AD}"/>
            </a:ext>
          </a:extLst>
        </xdr:cNvPr>
        <xdr:cNvSpPr txBox="1"/>
      </xdr:nvSpPr>
      <xdr:spPr>
        <a:xfrm>
          <a:off x="5278967" y="6199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316</xdr:row>
      <xdr:rowOff>0</xdr:rowOff>
    </xdr:from>
    <xdr:ext cx="184731" cy="264560"/>
    <xdr:sp macro="" textlink="">
      <xdr:nvSpPr>
        <xdr:cNvPr id="886" name="CaixaDeTexto 885">
          <a:extLst>
            <a:ext uri="{FF2B5EF4-FFF2-40B4-BE49-F238E27FC236}">
              <a16:creationId xmlns:a16="http://schemas.microsoft.com/office/drawing/2014/main" id="{982F38B0-D722-4DAE-9FF0-52298A747CC6}"/>
            </a:ext>
          </a:extLst>
        </xdr:cNvPr>
        <xdr:cNvSpPr txBox="1"/>
      </xdr:nvSpPr>
      <xdr:spPr>
        <a:xfrm>
          <a:off x="5278967" y="6199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887" name="CaixaDeTexto 886">
          <a:extLst>
            <a:ext uri="{FF2B5EF4-FFF2-40B4-BE49-F238E27FC236}">
              <a16:creationId xmlns:a16="http://schemas.microsoft.com/office/drawing/2014/main" id="{4260169B-E0CD-4650-9E51-504B8323F792}"/>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888" name="CaixaDeTexto 887">
          <a:extLst>
            <a:ext uri="{FF2B5EF4-FFF2-40B4-BE49-F238E27FC236}">
              <a16:creationId xmlns:a16="http://schemas.microsoft.com/office/drawing/2014/main" id="{780DBFC7-ACC7-4D0C-9520-3FCB7FCCDAE9}"/>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889" name="CaixaDeTexto 888">
          <a:extLst>
            <a:ext uri="{FF2B5EF4-FFF2-40B4-BE49-F238E27FC236}">
              <a16:creationId xmlns:a16="http://schemas.microsoft.com/office/drawing/2014/main" id="{7EA11C6C-7F49-4403-BD8E-9AF6971D5DCC}"/>
            </a:ext>
          </a:extLst>
        </xdr:cNvPr>
        <xdr:cNvSpPr txBox="1"/>
      </xdr:nvSpPr>
      <xdr:spPr>
        <a:xfrm>
          <a:off x="5278967" y="651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890" name="CaixaDeTexto 889">
          <a:extLst>
            <a:ext uri="{FF2B5EF4-FFF2-40B4-BE49-F238E27FC236}">
              <a16:creationId xmlns:a16="http://schemas.microsoft.com/office/drawing/2014/main" id="{BC89CDF6-2986-4564-8902-1E14C785225F}"/>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891" name="CaixaDeTexto 890">
          <a:extLst>
            <a:ext uri="{FF2B5EF4-FFF2-40B4-BE49-F238E27FC236}">
              <a16:creationId xmlns:a16="http://schemas.microsoft.com/office/drawing/2014/main" id="{83369F71-4018-42F7-93DB-A6586101AD61}"/>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892" name="CaixaDeTexto 891">
          <a:extLst>
            <a:ext uri="{FF2B5EF4-FFF2-40B4-BE49-F238E27FC236}">
              <a16:creationId xmlns:a16="http://schemas.microsoft.com/office/drawing/2014/main" id="{B757511F-B1A0-4A78-BBB5-D09937CE1232}"/>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893" name="CaixaDeTexto 892">
          <a:extLst>
            <a:ext uri="{FF2B5EF4-FFF2-40B4-BE49-F238E27FC236}">
              <a16:creationId xmlns:a16="http://schemas.microsoft.com/office/drawing/2014/main" id="{D3F29E74-4C88-47C0-B2CE-0222512EAFA6}"/>
            </a:ext>
          </a:extLst>
        </xdr:cNvPr>
        <xdr:cNvSpPr txBox="1"/>
      </xdr:nvSpPr>
      <xdr:spPr>
        <a:xfrm>
          <a:off x="5278967" y="7685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894" name="CaixaDeTexto 893">
          <a:extLst>
            <a:ext uri="{FF2B5EF4-FFF2-40B4-BE49-F238E27FC236}">
              <a16:creationId xmlns:a16="http://schemas.microsoft.com/office/drawing/2014/main" id="{B0EA2BE3-368E-48C6-8172-0ECFA65B9C4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895" name="CaixaDeTexto 894">
          <a:extLst>
            <a:ext uri="{FF2B5EF4-FFF2-40B4-BE49-F238E27FC236}">
              <a16:creationId xmlns:a16="http://schemas.microsoft.com/office/drawing/2014/main" id="{B5185FA7-3512-4C16-BD22-CB980D8EF3C1}"/>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896" name="CaixaDeTexto 895">
          <a:extLst>
            <a:ext uri="{FF2B5EF4-FFF2-40B4-BE49-F238E27FC236}">
              <a16:creationId xmlns:a16="http://schemas.microsoft.com/office/drawing/2014/main" id="{0578ED3D-A612-44D3-AD44-4528F839106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897" name="CaixaDeTexto 896">
          <a:extLst>
            <a:ext uri="{FF2B5EF4-FFF2-40B4-BE49-F238E27FC236}">
              <a16:creationId xmlns:a16="http://schemas.microsoft.com/office/drawing/2014/main" id="{F1E2E72A-F2B9-495C-BAB3-1DD9E279D5A9}"/>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898" name="CaixaDeTexto 897">
          <a:extLst>
            <a:ext uri="{FF2B5EF4-FFF2-40B4-BE49-F238E27FC236}">
              <a16:creationId xmlns:a16="http://schemas.microsoft.com/office/drawing/2014/main" id="{11B8957E-4FCF-46F2-B831-2E574B4E4576}"/>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899" name="CaixaDeTexto 898">
          <a:extLst>
            <a:ext uri="{FF2B5EF4-FFF2-40B4-BE49-F238E27FC236}">
              <a16:creationId xmlns:a16="http://schemas.microsoft.com/office/drawing/2014/main" id="{612AAC15-EF90-4022-B497-F78D4268BE7E}"/>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0" name="CaixaDeTexto 899">
          <a:extLst>
            <a:ext uri="{FF2B5EF4-FFF2-40B4-BE49-F238E27FC236}">
              <a16:creationId xmlns:a16="http://schemas.microsoft.com/office/drawing/2014/main" id="{59A84641-67CC-40BC-996A-CF962A5FC9E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1" name="CaixaDeTexto 900">
          <a:extLst>
            <a:ext uri="{FF2B5EF4-FFF2-40B4-BE49-F238E27FC236}">
              <a16:creationId xmlns:a16="http://schemas.microsoft.com/office/drawing/2014/main" id="{DD21FBE1-C6D1-404C-AF43-E3FF42605D92}"/>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2" name="CaixaDeTexto 901">
          <a:extLst>
            <a:ext uri="{FF2B5EF4-FFF2-40B4-BE49-F238E27FC236}">
              <a16:creationId xmlns:a16="http://schemas.microsoft.com/office/drawing/2014/main" id="{6E9232F1-3ABC-4C62-9176-8B7A39FB37C5}"/>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3" name="CaixaDeTexto 902">
          <a:extLst>
            <a:ext uri="{FF2B5EF4-FFF2-40B4-BE49-F238E27FC236}">
              <a16:creationId xmlns:a16="http://schemas.microsoft.com/office/drawing/2014/main" id="{B3A06989-17BB-40D4-AC23-8F959FF1B3DE}"/>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4" name="CaixaDeTexto 903">
          <a:extLst>
            <a:ext uri="{FF2B5EF4-FFF2-40B4-BE49-F238E27FC236}">
              <a16:creationId xmlns:a16="http://schemas.microsoft.com/office/drawing/2014/main" id="{B231C1BE-D409-43A9-9327-C0D408D0984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5" name="CaixaDeTexto 904">
          <a:extLst>
            <a:ext uri="{FF2B5EF4-FFF2-40B4-BE49-F238E27FC236}">
              <a16:creationId xmlns:a16="http://schemas.microsoft.com/office/drawing/2014/main" id="{028C5A4E-EDF3-4EBF-A883-4B946DBD541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6" name="CaixaDeTexto 905">
          <a:extLst>
            <a:ext uri="{FF2B5EF4-FFF2-40B4-BE49-F238E27FC236}">
              <a16:creationId xmlns:a16="http://schemas.microsoft.com/office/drawing/2014/main" id="{BB5C44E5-B30B-4D58-B89D-CDB5BAE6228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7" name="CaixaDeTexto 906">
          <a:extLst>
            <a:ext uri="{FF2B5EF4-FFF2-40B4-BE49-F238E27FC236}">
              <a16:creationId xmlns:a16="http://schemas.microsoft.com/office/drawing/2014/main" id="{D7C3507B-DC9C-415D-87E3-7BBD7DD6551A}"/>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8" name="CaixaDeTexto 907">
          <a:extLst>
            <a:ext uri="{FF2B5EF4-FFF2-40B4-BE49-F238E27FC236}">
              <a16:creationId xmlns:a16="http://schemas.microsoft.com/office/drawing/2014/main" id="{BF666B33-67E7-4A08-8302-BAAF5C37BF8E}"/>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09" name="CaixaDeTexto 908">
          <a:extLst>
            <a:ext uri="{FF2B5EF4-FFF2-40B4-BE49-F238E27FC236}">
              <a16:creationId xmlns:a16="http://schemas.microsoft.com/office/drawing/2014/main" id="{BE1E80EE-E002-49AA-95F9-1745A1EDCDFD}"/>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0" name="CaixaDeTexto 909">
          <a:extLst>
            <a:ext uri="{FF2B5EF4-FFF2-40B4-BE49-F238E27FC236}">
              <a16:creationId xmlns:a16="http://schemas.microsoft.com/office/drawing/2014/main" id="{FB5508E7-2180-448B-8E34-FE8DFDF53EF9}"/>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1" name="CaixaDeTexto 910">
          <a:extLst>
            <a:ext uri="{FF2B5EF4-FFF2-40B4-BE49-F238E27FC236}">
              <a16:creationId xmlns:a16="http://schemas.microsoft.com/office/drawing/2014/main" id="{0106C57D-825C-431D-A667-4AADE60F6DD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2" name="CaixaDeTexto 911">
          <a:extLst>
            <a:ext uri="{FF2B5EF4-FFF2-40B4-BE49-F238E27FC236}">
              <a16:creationId xmlns:a16="http://schemas.microsoft.com/office/drawing/2014/main" id="{7638FDC6-B16B-4837-91F0-8CAE42B75E95}"/>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3" name="CaixaDeTexto 912">
          <a:extLst>
            <a:ext uri="{FF2B5EF4-FFF2-40B4-BE49-F238E27FC236}">
              <a16:creationId xmlns:a16="http://schemas.microsoft.com/office/drawing/2014/main" id="{386433E1-D8BE-4602-B5CF-F48CF581C52B}"/>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4" name="CaixaDeTexto 913">
          <a:extLst>
            <a:ext uri="{FF2B5EF4-FFF2-40B4-BE49-F238E27FC236}">
              <a16:creationId xmlns:a16="http://schemas.microsoft.com/office/drawing/2014/main" id="{9BEC5471-9A10-49DC-9890-05ECE2922DA6}"/>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5" name="CaixaDeTexto 914">
          <a:extLst>
            <a:ext uri="{FF2B5EF4-FFF2-40B4-BE49-F238E27FC236}">
              <a16:creationId xmlns:a16="http://schemas.microsoft.com/office/drawing/2014/main" id="{FDA4550A-B3B4-49A1-BE7A-8C27A8BA2292}"/>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6" name="CaixaDeTexto 915">
          <a:extLst>
            <a:ext uri="{FF2B5EF4-FFF2-40B4-BE49-F238E27FC236}">
              <a16:creationId xmlns:a16="http://schemas.microsoft.com/office/drawing/2014/main" id="{91D1DE42-BB00-4E1C-BC50-07E672E5248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7" name="CaixaDeTexto 916">
          <a:extLst>
            <a:ext uri="{FF2B5EF4-FFF2-40B4-BE49-F238E27FC236}">
              <a16:creationId xmlns:a16="http://schemas.microsoft.com/office/drawing/2014/main" id="{70F04F3C-9014-4851-973C-31D65F3795D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8" name="CaixaDeTexto 917">
          <a:extLst>
            <a:ext uri="{FF2B5EF4-FFF2-40B4-BE49-F238E27FC236}">
              <a16:creationId xmlns:a16="http://schemas.microsoft.com/office/drawing/2014/main" id="{915E4E0C-0600-4317-8E29-2BDCD93586CE}"/>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19" name="CaixaDeTexto 918">
          <a:extLst>
            <a:ext uri="{FF2B5EF4-FFF2-40B4-BE49-F238E27FC236}">
              <a16:creationId xmlns:a16="http://schemas.microsoft.com/office/drawing/2014/main" id="{F4849011-6EAC-4556-85B7-389A72F2A5C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0" name="CaixaDeTexto 919">
          <a:extLst>
            <a:ext uri="{FF2B5EF4-FFF2-40B4-BE49-F238E27FC236}">
              <a16:creationId xmlns:a16="http://schemas.microsoft.com/office/drawing/2014/main" id="{CE834967-DBE4-4662-9BB2-3578758EECC9}"/>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1" name="CaixaDeTexto 920">
          <a:extLst>
            <a:ext uri="{FF2B5EF4-FFF2-40B4-BE49-F238E27FC236}">
              <a16:creationId xmlns:a16="http://schemas.microsoft.com/office/drawing/2014/main" id="{AAF19DC4-DB3E-442A-9125-1CB9FD6E877A}"/>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2" name="CaixaDeTexto 921">
          <a:extLst>
            <a:ext uri="{FF2B5EF4-FFF2-40B4-BE49-F238E27FC236}">
              <a16:creationId xmlns:a16="http://schemas.microsoft.com/office/drawing/2014/main" id="{F3E289D2-7429-4DCA-871F-37740B654CE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3" name="CaixaDeTexto 922">
          <a:extLst>
            <a:ext uri="{FF2B5EF4-FFF2-40B4-BE49-F238E27FC236}">
              <a16:creationId xmlns:a16="http://schemas.microsoft.com/office/drawing/2014/main" id="{939BE872-3BBB-494A-8F85-929C423D7601}"/>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4" name="CaixaDeTexto 923">
          <a:extLst>
            <a:ext uri="{FF2B5EF4-FFF2-40B4-BE49-F238E27FC236}">
              <a16:creationId xmlns:a16="http://schemas.microsoft.com/office/drawing/2014/main" id="{B7AAEFC6-B97B-4B02-A36A-B5F1036FF92A}"/>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5" name="CaixaDeTexto 924">
          <a:extLst>
            <a:ext uri="{FF2B5EF4-FFF2-40B4-BE49-F238E27FC236}">
              <a16:creationId xmlns:a16="http://schemas.microsoft.com/office/drawing/2014/main" id="{1724982B-8A88-421D-B30D-D56050F64475}"/>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6" name="CaixaDeTexto 925">
          <a:extLst>
            <a:ext uri="{FF2B5EF4-FFF2-40B4-BE49-F238E27FC236}">
              <a16:creationId xmlns:a16="http://schemas.microsoft.com/office/drawing/2014/main" id="{E673DBB8-3A2A-42B3-970E-53FEDF1AFEC8}"/>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7" name="CaixaDeTexto 926">
          <a:extLst>
            <a:ext uri="{FF2B5EF4-FFF2-40B4-BE49-F238E27FC236}">
              <a16:creationId xmlns:a16="http://schemas.microsoft.com/office/drawing/2014/main" id="{A61943D6-79FF-4972-82D7-0AD5D0D22FD4}"/>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8" name="CaixaDeTexto 927">
          <a:extLst>
            <a:ext uri="{FF2B5EF4-FFF2-40B4-BE49-F238E27FC236}">
              <a16:creationId xmlns:a16="http://schemas.microsoft.com/office/drawing/2014/main" id="{F41CB6FD-BE1D-402C-9FF8-23AA0EDB95F3}"/>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29" name="CaixaDeTexto 928">
          <a:extLst>
            <a:ext uri="{FF2B5EF4-FFF2-40B4-BE49-F238E27FC236}">
              <a16:creationId xmlns:a16="http://schemas.microsoft.com/office/drawing/2014/main" id="{C0CFA4D6-FDE6-499A-A21A-8817A78B994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0" name="CaixaDeTexto 929">
          <a:extLst>
            <a:ext uri="{FF2B5EF4-FFF2-40B4-BE49-F238E27FC236}">
              <a16:creationId xmlns:a16="http://schemas.microsoft.com/office/drawing/2014/main" id="{920FC350-A89E-4702-B031-941E8524B9B2}"/>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1" name="CaixaDeTexto 930">
          <a:extLst>
            <a:ext uri="{FF2B5EF4-FFF2-40B4-BE49-F238E27FC236}">
              <a16:creationId xmlns:a16="http://schemas.microsoft.com/office/drawing/2014/main" id="{BB343842-4157-4465-9F1C-D627788A45A0}"/>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2" name="CaixaDeTexto 931">
          <a:extLst>
            <a:ext uri="{FF2B5EF4-FFF2-40B4-BE49-F238E27FC236}">
              <a16:creationId xmlns:a16="http://schemas.microsoft.com/office/drawing/2014/main" id="{3397800D-D0C8-4EB9-883C-6637A0B2EF53}"/>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3" name="CaixaDeTexto 932">
          <a:extLst>
            <a:ext uri="{FF2B5EF4-FFF2-40B4-BE49-F238E27FC236}">
              <a16:creationId xmlns:a16="http://schemas.microsoft.com/office/drawing/2014/main" id="{9EE31049-4D21-45AB-9F4F-5AF67DEB041B}"/>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4" name="CaixaDeTexto 933">
          <a:extLst>
            <a:ext uri="{FF2B5EF4-FFF2-40B4-BE49-F238E27FC236}">
              <a16:creationId xmlns:a16="http://schemas.microsoft.com/office/drawing/2014/main" id="{8D6571FC-8290-49C5-A942-DCAAE33CA9D2}"/>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5" name="CaixaDeTexto 934">
          <a:extLst>
            <a:ext uri="{FF2B5EF4-FFF2-40B4-BE49-F238E27FC236}">
              <a16:creationId xmlns:a16="http://schemas.microsoft.com/office/drawing/2014/main" id="{15184AC2-BDB8-43E9-9C97-A6445694BAB3}"/>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6" name="CaixaDeTexto 935">
          <a:extLst>
            <a:ext uri="{FF2B5EF4-FFF2-40B4-BE49-F238E27FC236}">
              <a16:creationId xmlns:a16="http://schemas.microsoft.com/office/drawing/2014/main" id="{1922A1E1-D679-483E-88D9-6C2005C62BE6}"/>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7" name="CaixaDeTexto 936">
          <a:extLst>
            <a:ext uri="{FF2B5EF4-FFF2-40B4-BE49-F238E27FC236}">
              <a16:creationId xmlns:a16="http://schemas.microsoft.com/office/drawing/2014/main" id="{AA68720F-3487-4724-87A1-B533FAE589D1}"/>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38" name="CaixaDeTexto 937">
          <a:extLst>
            <a:ext uri="{FF2B5EF4-FFF2-40B4-BE49-F238E27FC236}">
              <a16:creationId xmlns:a16="http://schemas.microsoft.com/office/drawing/2014/main" id="{524C968B-2CA3-4428-9D12-C7A11664B0B2}"/>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39" name="CaixaDeTexto 938">
          <a:extLst>
            <a:ext uri="{FF2B5EF4-FFF2-40B4-BE49-F238E27FC236}">
              <a16:creationId xmlns:a16="http://schemas.microsoft.com/office/drawing/2014/main" id="{F5783B52-2CC6-421E-9B1B-69258F2304F6}"/>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0" name="CaixaDeTexto 939">
          <a:extLst>
            <a:ext uri="{FF2B5EF4-FFF2-40B4-BE49-F238E27FC236}">
              <a16:creationId xmlns:a16="http://schemas.microsoft.com/office/drawing/2014/main" id="{7568449D-4735-47CC-85EE-5B9C380CA507}"/>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41" name="CaixaDeTexto 940">
          <a:extLst>
            <a:ext uri="{FF2B5EF4-FFF2-40B4-BE49-F238E27FC236}">
              <a16:creationId xmlns:a16="http://schemas.microsoft.com/office/drawing/2014/main" id="{4D68BA80-0242-4EC1-A5A1-8D3655BF0A12}"/>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2" name="CaixaDeTexto 941">
          <a:extLst>
            <a:ext uri="{FF2B5EF4-FFF2-40B4-BE49-F238E27FC236}">
              <a16:creationId xmlns:a16="http://schemas.microsoft.com/office/drawing/2014/main" id="{6BE72AE8-F3FB-4D06-9CAC-43C06F6BBF7C}"/>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3" name="CaixaDeTexto 942">
          <a:extLst>
            <a:ext uri="{FF2B5EF4-FFF2-40B4-BE49-F238E27FC236}">
              <a16:creationId xmlns:a16="http://schemas.microsoft.com/office/drawing/2014/main" id="{2748B275-D4A3-44DA-9234-9C2D607050BA}"/>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4" name="CaixaDeTexto 943">
          <a:extLst>
            <a:ext uri="{FF2B5EF4-FFF2-40B4-BE49-F238E27FC236}">
              <a16:creationId xmlns:a16="http://schemas.microsoft.com/office/drawing/2014/main" id="{F0AECE46-A9D8-4CBA-876E-033D6ECE7E01}"/>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5" name="CaixaDeTexto 944">
          <a:extLst>
            <a:ext uri="{FF2B5EF4-FFF2-40B4-BE49-F238E27FC236}">
              <a16:creationId xmlns:a16="http://schemas.microsoft.com/office/drawing/2014/main" id="{47E80628-F5DC-4D3E-9170-22E349247E94}"/>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6" name="CaixaDeTexto 945">
          <a:extLst>
            <a:ext uri="{FF2B5EF4-FFF2-40B4-BE49-F238E27FC236}">
              <a16:creationId xmlns:a16="http://schemas.microsoft.com/office/drawing/2014/main" id="{522F296F-A2BD-412C-915B-2CFE236B7396}"/>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7" name="CaixaDeTexto 946">
          <a:extLst>
            <a:ext uri="{FF2B5EF4-FFF2-40B4-BE49-F238E27FC236}">
              <a16:creationId xmlns:a16="http://schemas.microsoft.com/office/drawing/2014/main" id="{8BD98DFA-5C08-4DF8-AA15-57FFBC05BDD2}"/>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472</xdr:row>
      <xdr:rowOff>0</xdr:rowOff>
    </xdr:from>
    <xdr:ext cx="184731" cy="264560"/>
    <xdr:sp macro="" textlink="">
      <xdr:nvSpPr>
        <xdr:cNvPr id="948" name="CaixaDeTexto 947">
          <a:extLst>
            <a:ext uri="{FF2B5EF4-FFF2-40B4-BE49-F238E27FC236}">
              <a16:creationId xmlns:a16="http://schemas.microsoft.com/office/drawing/2014/main" id="{8F7764D4-34CE-4CEF-AC38-11FA69DD08EC}"/>
            </a:ext>
          </a:extLst>
        </xdr:cNvPr>
        <xdr:cNvSpPr txBox="1"/>
      </xdr:nvSpPr>
      <xdr:spPr>
        <a:xfrm>
          <a:off x="5278967" y="9406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49" name="CaixaDeTexto 948">
          <a:extLst>
            <a:ext uri="{FF2B5EF4-FFF2-40B4-BE49-F238E27FC236}">
              <a16:creationId xmlns:a16="http://schemas.microsoft.com/office/drawing/2014/main" id="{0149216A-4FC8-438B-A23B-120E0D900571}"/>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471</xdr:row>
      <xdr:rowOff>0</xdr:rowOff>
    </xdr:from>
    <xdr:ext cx="184731" cy="264560"/>
    <xdr:sp macro="" textlink="">
      <xdr:nvSpPr>
        <xdr:cNvPr id="950" name="CaixaDeTexto 949">
          <a:extLst>
            <a:ext uri="{FF2B5EF4-FFF2-40B4-BE49-F238E27FC236}">
              <a16:creationId xmlns:a16="http://schemas.microsoft.com/office/drawing/2014/main" id="{F94C910F-2684-49C5-9682-9E61CB23BFC0}"/>
            </a:ext>
          </a:extLst>
        </xdr:cNvPr>
        <xdr:cNvSpPr txBox="1"/>
      </xdr:nvSpPr>
      <xdr:spPr>
        <a:xfrm>
          <a:off x="5278967" y="93870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1" name="CaixaDeTexto 950">
          <a:extLst>
            <a:ext uri="{FF2B5EF4-FFF2-40B4-BE49-F238E27FC236}">
              <a16:creationId xmlns:a16="http://schemas.microsoft.com/office/drawing/2014/main" id="{261EFD8F-36DB-4083-928E-236206430A74}"/>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2" name="CaixaDeTexto 951">
          <a:extLst>
            <a:ext uri="{FF2B5EF4-FFF2-40B4-BE49-F238E27FC236}">
              <a16:creationId xmlns:a16="http://schemas.microsoft.com/office/drawing/2014/main" id="{787156AE-A4E6-45F0-BBB8-5779E9F4C8AE}"/>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3" name="CaixaDeTexto 952">
          <a:extLst>
            <a:ext uri="{FF2B5EF4-FFF2-40B4-BE49-F238E27FC236}">
              <a16:creationId xmlns:a16="http://schemas.microsoft.com/office/drawing/2014/main" id="{502788F6-0D51-4CC3-A460-53818F41DB54}"/>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4" name="CaixaDeTexto 953">
          <a:extLst>
            <a:ext uri="{FF2B5EF4-FFF2-40B4-BE49-F238E27FC236}">
              <a16:creationId xmlns:a16="http://schemas.microsoft.com/office/drawing/2014/main" id="{2D85BE9F-4789-4285-8DB1-0044E694D16B}"/>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5" name="CaixaDeTexto 954">
          <a:extLst>
            <a:ext uri="{FF2B5EF4-FFF2-40B4-BE49-F238E27FC236}">
              <a16:creationId xmlns:a16="http://schemas.microsoft.com/office/drawing/2014/main" id="{CAF28F3B-110F-4E9A-A130-FEA8779865A5}"/>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6" name="CaixaDeTexto 955">
          <a:extLst>
            <a:ext uri="{FF2B5EF4-FFF2-40B4-BE49-F238E27FC236}">
              <a16:creationId xmlns:a16="http://schemas.microsoft.com/office/drawing/2014/main" id="{6692174D-449E-4E13-A401-D602C56E0531}"/>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7" name="CaixaDeTexto 956">
          <a:extLst>
            <a:ext uri="{FF2B5EF4-FFF2-40B4-BE49-F238E27FC236}">
              <a16:creationId xmlns:a16="http://schemas.microsoft.com/office/drawing/2014/main" id="{47301D14-D3C7-400E-9C89-24DF540A3823}"/>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470</xdr:row>
      <xdr:rowOff>0</xdr:rowOff>
    </xdr:from>
    <xdr:ext cx="184731" cy="264560"/>
    <xdr:sp macro="" textlink="">
      <xdr:nvSpPr>
        <xdr:cNvPr id="958" name="CaixaDeTexto 957">
          <a:extLst>
            <a:ext uri="{FF2B5EF4-FFF2-40B4-BE49-F238E27FC236}">
              <a16:creationId xmlns:a16="http://schemas.microsoft.com/office/drawing/2014/main" id="{302BCF91-A134-4623-ACB0-F1927751E0EE}"/>
            </a:ext>
          </a:extLst>
        </xdr:cNvPr>
        <xdr:cNvSpPr txBox="1"/>
      </xdr:nvSpPr>
      <xdr:spPr>
        <a:xfrm>
          <a:off x="5278967" y="936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471</xdr:row>
      <xdr:rowOff>0</xdr:rowOff>
    </xdr:from>
    <xdr:ext cx="184731" cy="264560"/>
    <xdr:sp macro="" textlink="">
      <xdr:nvSpPr>
        <xdr:cNvPr id="959" name="CaixaDeTexto 958">
          <a:extLst>
            <a:ext uri="{FF2B5EF4-FFF2-40B4-BE49-F238E27FC236}">
              <a16:creationId xmlns:a16="http://schemas.microsoft.com/office/drawing/2014/main" id="{688063B7-80A0-4154-9E20-B2F3E4D8F43A}"/>
            </a:ext>
          </a:extLst>
        </xdr:cNvPr>
        <xdr:cNvSpPr txBox="1"/>
      </xdr:nvSpPr>
      <xdr:spPr>
        <a:xfrm>
          <a:off x="5278967" y="93870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60" name="CaixaDeTexto 959">
          <a:extLst>
            <a:ext uri="{FF2B5EF4-FFF2-40B4-BE49-F238E27FC236}">
              <a16:creationId xmlns:a16="http://schemas.microsoft.com/office/drawing/2014/main" id="{957A90C1-485F-49BD-9061-AB9F46308501}"/>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1" name="CaixaDeTexto 960">
          <a:extLst>
            <a:ext uri="{FF2B5EF4-FFF2-40B4-BE49-F238E27FC236}">
              <a16:creationId xmlns:a16="http://schemas.microsoft.com/office/drawing/2014/main" id="{18B93546-F1AE-4027-8155-E9899F9FFBA2}"/>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468</xdr:row>
      <xdr:rowOff>0</xdr:rowOff>
    </xdr:from>
    <xdr:ext cx="184731" cy="264560"/>
    <xdr:sp macro="" textlink="">
      <xdr:nvSpPr>
        <xdr:cNvPr id="962" name="CaixaDeTexto 961">
          <a:extLst>
            <a:ext uri="{FF2B5EF4-FFF2-40B4-BE49-F238E27FC236}">
              <a16:creationId xmlns:a16="http://schemas.microsoft.com/office/drawing/2014/main" id="{DD7ACCB9-CC75-4EC2-996E-7362B582ED8C}"/>
            </a:ext>
          </a:extLst>
        </xdr:cNvPr>
        <xdr:cNvSpPr txBox="1"/>
      </xdr:nvSpPr>
      <xdr:spPr>
        <a:xfrm>
          <a:off x="5278967" y="9327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3" name="CaixaDeTexto 962">
          <a:extLst>
            <a:ext uri="{FF2B5EF4-FFF2-40B4-BE49-F238E27FC236}">
              <a16:creationId xmlns:a16="http://schemas.microsoft.com/office/drawing/2014/main" id="{426F41E9-A05D-4770-AC27-F3C43F255702}"/>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4" name="CaixaDeTexto 963">
          <a:extLst>
            <a:ext uri="{FF2B5EF4-FFF2-40B4-BE49-F238E27FC236}">
              <a16:creationId xmlns:a16="http://schemas.microsoft.com/office/drawing/2014/main" id="{2682DF2D-1541-405A-AFCD-38A5E2D73D41}"/>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5" name="CaixaDeTexto 964">
          <a:extLst>
            <a:ext uri="{FF2B5EF4-FFF2-40B4-BE49-F238E27FC236}">
              <a16:creationId xmlns:a16="http://schemas.microsoft.com/office/drawing/2014/main" id="{9A55A86D-BD81-4ED8-B9F4-BBCF0637A114}"/>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6" name="CaixaDeTexto 965">
          <a:extLst>
            <a:ext uri="{FF2B5EF4-FFF2-40B4-BE49-F238E27FC236}">
              <a16:creationId xmlns:a16="http://schemas.microsoft.com/office/drawing/2014/main" id="{26205452-1786-4F4D-92F3-7D4CE61DB092}"/>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7" name="CaixaDeTexto 966">
          <a:extLst>
            <a:ext uri="{FF2B5EF4-FFF2-40B4-BE49-F238E27FC236}">
              <a16:creationId xmlns:a16="http://schemas.microsoft.com/office/drawing/2014/main" id="{4C3C2AEC-04A8-424C-907B-2329EAB6A64B}"/>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8" name="CaixaDeTexto 967">
          <a:extLst>
            <a:ext uri="{FF2B5EF4-FFF2-40B4-BE49-F238E27FC236}">
              <a16:creationId xmlns:a16="http://schemas.microsoft.com/office/drawing/2014/main" id="{D0C83EF5-7A6F-4B3C-9C0B-2A7486C8062C}"/>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469</xdr:row>
      <xdr:rowOff>0</xdr:rowOff>
    </xdr:from>
    <xdr:ext cx="184731" cy="264560"/>
    <xdr:sp macro="" textlink="">
      <xdr:nvSpPr>
        <xdr:cNvPr id="969" name="CaixaDeTexto 968">
          <a:extLst>
            <a:ext uri="{FF2B5EF4-FFF2-40B4-BE49-F238E27FC236}">
              <a16:creationId xmlns:a16="http://schemas.microsoft.com/office/drawing/2014/main" id="{DFEC68DD-C89E-465E-A1AD-D070821DB874}"/>
            </a:ext>
          </a:extLst>
        </xdr:cNvPr>
        <xdr:cNvSpPr txBox="1"/>
      </xdr:nvSpPr>
      <xdr:spPr>
        <a:xfrm>
          <a:off x="5278967" y="9347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0" name="CaixaDeTexto 969">
          <a:extLst>
            <a:ext uri="{FF2B5EF4-FFF2-40B4-BE49-F238E27FC236}">
              <a16:creationId xmlns:a16="http://schemas.microsoft.com/office/drawing/2014/main" id="{E805EBBE-624A-45CF-B2AC-E80AB446BB78}"/>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1" name="CaixaDeTexto 970">
          <a:extLst>
            <a:ext uri="{FF2B5EF4-FFF2-40B4-BE49-F238E27FC236}">
              <a16:creationId xmlns:a16="http://schemas.microsoft.com/office/drawing/2014/main" id="{25A9CAA3-46AD-4478-B300-232C8829C4D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2" name="CaixaDeTexto 971">
          <a:extLst>
            <a:ext uri="{FF2B5EF4-FFF2-40B4-BE49-F238E27FC236}">
              <a16:creationId xmlns:a16="http://schemas.microsoft.com/office/drawing/2014/main" id="{4AD6AE94-BFC3-402F-90CA-75A3331A5F53}"/>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3" name="CaixaDeTexto 972">
          <a:extLst>
            <a:ext uri="{FF2B5EF4-FFF2-40B4-BE49-F238E27FC236}">
              <a16:creationId xmlns:a16="http://schemas.microsoft.com/office/drawing/2014/main" id="{4413BEB8-ADC1-499B-9F73-C33D152194D7}"/>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4" name="CaixaDeTexto 973">
          <a:extLst>
            <a:ext uri="{FF2B5EF4-FFF2-40B4-BE49-F238E27FC236}">
              <a16:creationId xmlns:a16="http://schemas.microsoft.com/office/drawing/2014/main" id="{D9DD6644-5E10-4D52-AC34-773BE9F9F4A3}"/>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5" name="CaixaDeTexto 974">
          <a:extLst>
            <a:ext uri="{FF2B5EF4-FFF2-40B4-BE49-F238E27FC236}">
              <a16:creationId xmlns:a16="http://schemas.microsoft.com/office/drawing/2014/main" id="{849EDB24-7243-4ACC-8758-5BF0724B25D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6" name="CaixaDeTexto 975">
          <a:extLst>
            <a:ext uri="{FF2B5EF4-FFF2-40B4-BE49-F238E27FC236}">
              <a16:creationId xmlns:a16="http://schemas.microsoft.com/office/drawing/2014/main" id="{02382271-4199-42BD-8360-8EC48D33DF5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7" name="CaixaDeTexto 976">
          <a:extLst>
            <a:ext uri="{FF2B5EF4-FFF2-40B4-BE49-F238E27FC236}">
              <a16:creationId xmlns:a16="http://schemas.microsoft.com/office/drawing/2014/main" id="{0DB43A08-882A-4A49-8D62-C8414A0950D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8" name="CaixaDeTexto 977">
          <a:extLst>
            <a:ext uri="{FF2B5EF4-FFF2-40B4-BE49-F238E27FC236}">
              <a16:creationId xmlns:a16="http://schemas.microsoft.com/office/drawing/2014/main" id="{2F161A78-3854-4D00-A72B-67460E14802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79" name="CaixaDeTexto 978">
          <a:extLst>
            <a:ext uri="{FF2B5EF4-FFF2-40B4-BE49-F238E27FC236}">
              <a16:creationId xmlns:a16="http://schemas.microsoft.com/office/drawing/2014/main" id="{A8D80079-C164-43D2-B186-15AF635F7B19}"/>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0" name="CaixaDeTexto 979">
          <a:extLst>
            <a:ext uri="{FF2B5EF4-FFF2-40B4-BE49-F238E27FC236}">
              <a16:creationId xmlns:a16="http://schemas.microsoft.com/office/drawing/2014/main" id="{7FE0CB11-F947-44C8-8F86-950F871EAE4C}"/>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1" name="CaixaDeTexto 980">
          <a:extLst>
            <a:ext uri="{FF2B5EF4-FFF2-40B4-BE49-F238E27FC236}">
              <a16:creationId xmlns:a16="http://schemas.microsoft.com/office/drawing/2014/main" id="{724C4FFE-A471-40B1-A84E-BEBB17A6F6C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2" name="CaixaDeTexto 981">
          <a:extLst>
            <a:ext uri="{FF2B5EF4-FFF2-40B4-BE49-F238E27FC236}">
              <a16:creationId xmlns:a16="http://schemas.microsoft.com/office/drawing/2014/main" id="{4BDA1BAF-EA2E-4423-8F44-F9FC3AD91BA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3" name="CaixaDeTexto 982">
          <a:extLst>
            <a:ext uri="{FF2B5EF4-FFF2-40B4-BE49-F238E27FC236}">
              <a16:creationId xmlns:a16="http://schemas.microsoft.com/office/drawing/2014/main" id="{F41F4AC6-3A2F-47D2-ADBB-ED2E4CB3CAF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4" name="CaixaDeTexto 983">
          <a:extLst>
            <a:ext uri="{FF2B5EF4-FFF2-40B4-BE49-F238E27FC236}">
              <a16:creationId xmlns:a16="http://schemas.microsoft.com/office/drawing/2014/main" id="{526A7541-5796-4C46-8531-93706DDDCF19}"/>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5" name="CaixaDeTexto 984">
          <a:extLst>
            <a:ext uri="{FF2B5EF4-FFF2-40B4-BE49-F238E27FC236}">
              <a16:creationId xmlns:a16="http://schemas.microsoft.com/office/drawing/2014/main" id="{924A9FF8-7B68-4F79-BD55-165A60E79FA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6" name="CaixaDeTexto 985">
          <a:extLst>
            <a:ext uri="{FF2B5EF4-FFF2-40B4-BE49-F238E27FC236}">
              <a16:creationId xmlns:a16="http://schemas.microsoft.com/office/drawing/2014/main" id="{0EBA0BF1-1431-4998-BD1A-24D4B64E8FBB}"/>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7" name="CaixaDeTexto 986">
          <a:extLst>
            <a:ext uri="{FF2B5EF4-FFF2-40B4-BE49-F238E27FC236}">
              <a16:creationId xmlns:a16="http://schemas.microsoft.com/office/drawing/2014/main" id="{ECBA8C74-B4E8-4DE0-B94F-E1DCA599950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8" name="CaixaDeTexto 987">
          <a:extLst>
            <a:ext uri="{FF2B5EF4-FFF2-40B4-BE49-F238E27FC236}">
              <a16:creationId xmlns:a16="http://schemas.microsoft.com/office/drawing/2014/main" id="{48648622-3F6F-4753-99DC-B57D8EE268E8}"/>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89" name="CaixaDeTexto 988">
          <a:extLst>
            <a:ext uri="{FF2B5EF4-FFF2-40B4-BE49-F238E27FC236}">
              <a16:creationId xmlns:a16="http://schemas.microsoft.com/office/drawing/2014/main" id="{CC2D9DA4-B9CF-48E1-8EA2-44E6A3DC5BB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0" name="CaixaDeTexto 989">
          <a:extLst>
            <a:ext uri="{FF2B5EF4-FFF2-40B4-BE49-F238E27FC236}">
              <a16:creationId xmlns:a16="http://schemas.microsoft.com/office/drawing/2014/main" id="{767045EC-6348-4B09-A4AE-BA7FE015C9D3}"/>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1" name="CaixaDeTexto 990">
          <a:extLst>
            <a:ext uri="{FF2B5EF4-FFF2-40B4-BE49-F238E27FC236}">
              <a16:creationId xmlns:a16="http://schemas.microsoft.com/office/drawing/2014/main" id="{F9BC5C83-225F-4D05-A45F-AC90643F276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2" name="CaixaDeTexto 991">
          <a:extLst>
            <a:ext uri="{FF2B5EF4-FFF2-40B4-BE49-F238E27FC236}">
              <a16:creationId xmlns:a16="http://schemas.microsoft.com/office/drawing/2014/main" id="{F21D1720-8145-48F8-A0E6-201F68B6762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3" name="CaixaDeTexto 992">
          <a:extLst>
            <a:ext uri="{FF2B5EF4-FFF2-40B4-BE49-F238E27FC236}">
              <a16:creationId xmlns:a16="http://schemas.microsoft.com/office/drawing/2014/main" id="{64A6E3B7-51AB-41DF-A42A-373CE8F1951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4" name="CaixaDeTexto 993">
          <a:extLst>
            <a:ext uri="{FF2B5EF4-FFF2-40B4-BE49-F238E27FC236}">
              <a16:creationId xmlns:a16="http://schemas.microsoft.com/office/drawing/2014/main" id="{CE8EF5F7-DBE8-4F29-AD46-A42F483F08B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5" name="CaixaDeTexto 994">
          <a:extLst>
            <a:ext uri="{FF2B5EF4-FFF2-40B4-BE49-F238E27FC236}">
              <a16:creationId xmlns:a16="http://schemas.microsoft.com/office/drawing/2014/main" id="{2FBA1BAB-C956-43D7-BC8A-B95F96D3A9B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6" name="CaixaDeTexto 995">
          <a:extLst>
            <a:ext uri="{FF2B5EF4-FFF2-40B4-BE49-F238E27FC236}">
              <a16:creationId xmlns:a16="http://schemas.microsoft.com/office/drawing/2014/main" id="{7170EFF8-BB9B-4D20-9C8F-EC46C3EF861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7" name="CaixaDeTexto 996">
          <a:extLst>
            <a:ext uri="{FF2B5EF4-FFF2-40B4-BE49-F238E27FC236}">
              <a16:creationId xmlns:a16="http://schemas.microsoft.com/office/drawing/2014/main" id="{28B7771D-19AB-4330-9257-7C9AF473137C}"/>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8" name="CaixaDeTexto 997">
          <a:extLst>
            <a:ext uri="{FF2B5EF4-FFF2-40B4-BE49-F238E27FC236}">
              <a16:creationId xmlns:a16="http://schemas.microsoft.com/office/drawing/2014/main" id="{4D3973CF-6D81-4ED6-BF86-A30ABC653326}"/>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999" name="CaixaDeTexto 998">
          <a:extLst>
            <a:ext uri="{FF2B5EF4-FFF2-40B4-BE49-F238E27FC236}">
              <a16:creationId xmlns:a16="http://schemas.microsoft.com/office/drawing/2014/main" id="{8D2F1DCF-B6BF-41F8-8F5A-D615B08BB0EB}"/>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0" name="CaixaDeTexto 999">
          <a:extLst>
            <a:ext uri="{FF2B5EF4-FFF2-40B4-BE49-F238E27FC236}">
              <a16:creationId xmlns:a16="http://schemas.microsoft.com/office/drawing/2014/main" id="{E0826F7B-6859-4D8C-A706-280D28220BF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1" name="CaixaDeTexto 1000">
          <a:extLst>
            <a:ext uri="{FF2B5EF4-FFF2-40B4-BE49-F238E27FC236}">
              <a16:creationId xmlns:a16="http://schemas.microsoft.com/office/drawing/2014/main" id="{F69B9C2C-90F4-48BE-98B9-FFC67D18484D}"/>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2" name="CaixaDeTexto 1001">
          <a:extLst>
            <a:ext uri="{FF2B5EF4-FFF2-40B4-BE49-F238E27FC236}">
              <a16:creationId xmlns:a16="http://schemas.microsoft.com/office/drawing/2014/main" id="{237F7DEE-ED25-46F9-A32C-E539E9903D4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3" name="CaixaDeTexto 1002">
          <a:extLst>
            <a:ext uri="{FF2B5EF4-FFF2-40B4-BE49-F238E27FC236}">
              <a16:creationId xmlns:a16="http://schemas.microsoft.com/office/drawing/2014/main" id="{FB931861-BAC9-40DF-98C9-A001F040991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4" name="CaixaDeTexto 1003">
          <a:extLst>
            <a:ext uri="{FF2B5EF4-FFF2-40B4-BE49-F238E27FC236}">
              <a16:creationId xmlns:a16="http://schemas.microsoft.com/office/drawing/2014/main" id="{EEEEDB2B-4942-4D65-BE0D-7339A809A40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5" name="CaixaDeTexto 1004">
          <a:extLst>
            <a:ext uri="{FF2B5EF4-FFF2-40B4-BE49-F238E27FC236}">
              <a16:creationId xmlns:a16="http://schemas.microsoft.com/office/drawing/2014/main" id="{521D2191-F8D5-4A7F-B8B9-A1FE238D82BC}"/>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6" name="CaixaDeTexto 1005">
          <a:extLst>
            <a:ext uri="{FF2B5EF4-FFF2-40B4-BE49-F238E27FC236}">
              <a16:creationId xmlns:a16="http://schemas.microsoft.com/office/drawing/2014/main" id="{93EF2B5F-BF14-45E7-A8DE-3FB3E13D4CC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7" name="CaixaDeTexto 1006">
          <a:extLst>
            <a:ext uri="{FF2B5EF4-FFF2-40B4-BE49-F238E27FC236}">
              <a16:creationId xmlns:a16="http://schemas.microsoft.com/office/drawing/2014/main" id="{6AA432D5-FAFB-49B7-9D93-30030E96CF47}"/>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8" name="CaixaDeTexto 1007">
          <a:extLst>
            <a:ext uri="{FF2B5EF4-FFF2-40B4-BE49-F238E27FC236}">
              <a16:creationId xmlns:a16="http://schemas.microsoft.com/office/drawing/2014/main" id="{B49DFCE9-7A83-4351-A8AB-C4A83BB13484}"/>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09" name="CaixaDeTexto 1008">
          <a:extLst>
            <a:ext uri="{FF2B5EF4-FFF2-40B4-BE49-F238E27FC236}">
              <a16:creationId xmlns:a16="http://schemas.microsoft.com/office/drawing/2014/main" id="{558767F3-5452-4419-94F4-1705BC52690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10" name="CaixaDeTexto 1009">
          <a:extLst>
            <a:ext uri="{FF2B5EF4-FFF2-40B4-BE49-F238E27FC236}">
              <a16:creationId xmlns:a16="http://schemas.microsoft.com/office/drawing/2014/main" id="{26416963-54FA-415B-B799-CA3FFA0948D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11" name="CaixaDeTexto 1010">
          <a:extLst>
            <a:ext uri="{FF2B5EF4-FFF2-40B4-BE49-F238E27FC236}">
              <a16:creationId xmlns:a16="http://schemas.microsoft.com/office/drawing/2014/main" id="{60FDD8AF-2C01-420B-A867-4A305CF28055}"/>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12" name="CaixaDeTexto 1011">
          <a:extLst>
            <a:ext uri="{FF2B5EF4-FFF2-40B4-BE49-F238E27FC236}">
              <a16:creationId xmlns:a16="http://schemas.microsoft.com/office/drawing/2014/main" id="{8016AC01-524F-4A58-841A-9A154904A7EF}"/>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13" name="CaixaDeTexto 1012">
          <a:extLst>
            <a:ext uri="{FF2B5EF4-FFF2-40B4-BE49-F238E27FC236}">
              <a16:creationId xmlns:a16="http://schemas.microsoft.com/office/drawing/2014/main" id="{892ADD27-4C84-4460-B69D-1748438B4B92}"/>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14" name="CaixaDeTexto 1013">
          <a:extLst>
            <a:ext uri="{FF2B5EF4-FFF2-40B4-BE49-F238E27FC236}">
              <a16:creationId xmlns:a16="http://schemas.microsoft.com/office/drawing/2014/main" id="{77934F58-2319-40DE-9EC2-602FD1921A1A}"/>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15" name="CaixaDeTexto 1014">
          <a:extLst>
            <a:ext uri="{FF2B5EF4-FFF2-40B4-BE49-F238E27FC236}">
              <a16:creationId xmlns:a16="http://schemas.microsoft.com/office/drawing/2014/main" id="{490A6FD8-BC60-4ABE-A141-628AB1CE7CF9}"/>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16" name="CaixaDeTexto 1015">
          <a:extLst>
            <a:ext uri="{FF2B5EF4-FFF2-40B4-BE49-F238E27FC236}">
              <a16:creationId xmlns:a16="http://schemas.microsoft.com/office/drawing/2014/main" id="{07225D75-DC2A-46D1-B6D7-4CA686C2ED72}"/>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17" name="CaixaDeTexto 1016">
          <a:extLst>
            <a:ext uri="{FF2B5EF4-FFF2-40B4-BE49-F238E27FC236}">
              <a16:creationId xmlns:a16="http://schemas.microsoft.com/office/drawing/2014/main" id="{59FAA596-BDE2-434F-944C-FEDFEA0DEDF6}"/>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18" name="CaixaDeTexto 1017">
          <a:extLst>
            <a:ext uri="{FF2B5EF4-FFF2-40B4-BE49-F238E27FC236}">
              <a16:creationId xmlns:a16="http://schemas.microsoft.com/office/drawing/2014/main" id="{CB2AE7C5-F47B-4670-8959-3A7A27AA8395}"/>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19" name="CaixaDeTexto 1018">
          <a:extLst>
            <a:ext uri="{FF2B5EF4-FFF2-40B4-BE49-F238E27FC236}">
              <a16:creationId xmlns:a16="http://schemas.microsoft.com/office/drawing/2014/main" id="{F924E89F-DF05-4E0C-9958-7FA3D3802D72}"/>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0" name="CaixaDeTexto 1019">
          <a:extLst>
            <a:ext uri="{FF2B5EF4-FFF2-40B4-BE49-F238E27FC236}">
              <a16:creationId xmlns:a16="http://schemas.microsoft.com/office/drawing/2014/main" id="{F54FE5CA-5B4E-46EF-A404-981C7ECFE664}"/>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1" name="CaixaDeTexto 1020">
          <a:extLst>
            <a:ext uri="{FF2B5EF4-FFF2-40B4-BE49-F238E27FC236}">
              <a16:creationId xmlns:a16="http://schemas.microsoft.com/office/drawing/2014/main" id="{CD82F9B6-9F82-4CEB-9876-18E4DD9BEC02}"/>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2" name="CaixaDeTexto 1021">
          <a:extLst>
            <a:ext uri="{FF2B5EF4-FFF2-40B4-BE49-F238E27FC236}">
              <a16:creationId xmlns:a16="http://schemas.microsoft.com/office/drawing/2014/main" id="{A0C98A2A-EA12-4EA6-98FB-3FF706EAFFE0}"/>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3" name="CaixaDeTexto 1022">
          <a:extLst>
            <a:ext uri="{FF2B5EF4-FFF2-40B4-BE49-F238E27FC236}">
              <a16:creationId xmlns:a16="http://schemas.microsoft.com/office/drawing/2014/main" id="{2E307981-53F3-49E4-897B-153B931A2D74}"/>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480</xdr:row>
      <xdr:rowOff>0</xdr:rowOff>
    </xdr:from>
    <xdr:ext cx="184731" cy="264560"/>
    <xdr:sp macro="" textlink="">
      <xdr:nvSpPr>
        <xdr:cNvPr id="1024" name="CaixaDeTexto 1023">
          <a:extLst>
            <a:ext uri="{FF2B5EF4-FFF2-40B4-BE49-F238E27FC236}">
              <a16:creationId xmlns:a16="http://schemas.microsoft.com/office/drawing/2014/main" id="{A90E264E-6BB3-4ABD-96FF-0A72C070E3C6}"/>
            </a:ext>
          </a:extLst>
        </xdr:cNvPr>
        <xdr:cNvSpPr txBox="1"/>
      </xdr:nvSpPr>
      <xdr:spPr>
        <a:xfrm>
          <a:off x="5278967" y="9564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5" name="CaixaDeTexto 1024">
          <a:extLst>
            <a:ext uri="{FF2B5EF4-FFF2-40B4-BE49-F238E27FC236}">
              <a16:creationId xmlns:a16="http://schemas.microsoft.com/office/drawing/2014/main" id="{255D9EDF-A85B-411E-B065-8BF60A5660DD}"/>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479</xdr:row>
      <xdr:rowOff>0</xdr:rowOff>
    </xdr:from>
    <xdr:ext cx="184731" cy="264560"/>
    <xdr:sp macro="" textlink="">
      <xdr:nvSpPr>
        <xdr:cNvPr id="1026" name="CaixaDeTexto 1025">
          <a:extLst>
            <a:ext uri="{FF2B5EF4-FFF2-40B4-BE49-F238E27FC236}">
              <a16:creationId xmlns:a16="http://schemas.microsoft.com/office/drawing/2014/main" id="{B79713D7-2661-4517-9272-A61D7FC70393}"/>
            </a:ext>
          </a:extLst>
        </xdr:cNvPr>
        <xdr:cNvSpPr txBox="1"/>
      </xdr:nvSpPr>
      <xdr:spPr>
        <a:xfrm>
          <a:off x="5278967" y="95448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7" name="CaixaDeTexto 1026">
          <a:extLst>
            <a:ext uri="{FF2B5EF4-FFF2-40B4-BE49-F238E27FC236}">
              <a16:creationId xmlns:a16="http://schemas.microsoft.com/office/drawing/2014/main" id="{7BEB2B1E-7F95-4F3D-B2D5-D2EB6191C8D3}"/>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8" name="CaixaDeTexto 1027">
          <a:extLst>
            <a:ext uri="{FF2B5EF4-FFF2-40B4-BE49-F238E27FC236}">
              <a16:creationId xmlns:a16="http://schemas.microsoft.com/office/drawing/2014/main" id="{01EDCCC4-C950-4D6E-9602-E1783F1A354E}"/>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29" name="CaixaDeTexto 1028">
          <a:extLst>
            <a:ext uri="{FF2B5EF4-FFF2-40B4-BE49-F238E27FC236}">
              <a16:creationId xmlns:a16="http://schemas.microsoft.com/office/drawing/2014/main" id="{62AFE292-4FDA-4E96-BADE-3A9A2555BF3D}"/>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30" name="CaixaDeTexto 1029">
          <a:extLst>
            <a:ext uri="{FF2B5EF4-FFF2-40B4-BE49-F238E27FC236}">
              <a16:creationId xmlns:a16="http://schemas.microsoft.com/office/drawing/2014/main" id="{7B2F8768-D71F-4158-BE0F-6C358A6EF15F}"/>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31" name="CaixaDeTexto 1030">
          <a:extLst>
            <a:ext uri="{FF2B5EF4-FFF2-40B4-BE49-F238E27FC236}">
              <a16:creationId xmlns:a16="http://schemas.microsoft.com/office/drawing/2014/main" id="{820BEF54-E8C1-4501-8498-575A9908917F}"/>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32" name="CaixaDeTexto 1031">
          <a:extLst>
            <a:ext uri="{FF2B5EF4-FFF2-40B4-BE49-F238E27FC236}">
              <a16:creationId xmlns:a16="http://schemas.microsoft.com/office/drawing/2014/main" id="{B14903A0-EA37-4E1B-B4BC-D33D3268F409}"/>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33" name="CaixaDeTexto 1032">
          <a:extLst>
            <a:ext uri="{FF2B5EF4-FFF2-40B4-BE49-F238E27FC236}">
              <a16:creationId xmlns:a16="http://schemas.microsoft.com/office/drawing/2014/main" id="{42C0BD78-3911-473E-84B7-37186A5ABF65}"/>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478</xdr:row>
      <xdr:rowOff>0</xdr:rowOff>
    </xdr:from>
    <xdr:ext cx="184731" cy="264560"/>
    <xdr:sp macro="" textlink="">
      <xdr:nvSpPr>
        <xdr:cNvPr id="1034" name="CaixaDeTexto 1033">
          <a:extLst>
            <a:ext uri="{FF2B5EF4-FFF2-40B4-BE49-F238E27FC236}">
              <a16:creationId xmlns:a16="http://schemas.microsoft.com/office/drawing/2014/main" id="{F18A6809-3B93-47F3-BFE8-392EFC4BEFD9}"/>
            </a:ext>
          </a:extLst>
        </xdr:cNvPr>
        <xdr:cNvSpPr txBox="1"/>
      </xdr:nvSpPr>
      <xdr:spPr>
        <a:xfrm>
          <a:off x="5278967" y="952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479</xdr:row>
      <xdr:rowOff>0</xdr:rowOff>
    </xdr:from>
    <xdr:ext cx="184731" cy="264560"/>
    <xdr:sp macro="" textlink="">
      <xdr:nvSpPr>
        <xdr:cNvPr id="1035" name="CaixaDeTexto 1034">
          <a:extLst>
            <a:ext uri="{FF2B5EF4-FFF2-40B4-BE49-F238E27FC236}">
              <a16:creationId xmlns:a16="http://schemas.microsoft.com/office/drawing/2014/main" id="{9E2A87A0-63AA-418B-A95F-6CA4B69FFA29}"/>
            </a:ext>
          </a:extLst>
        </xdr:cNvPr>
        <xdr:cNvSpPr txBox="1"/>
      </xdr:nvSpPr>
      <xdr:spPr>
        <a:xfrm>
          <a:off x="5278967" y="95448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36" name="CaixaDeTexto 1035">
          <a:extLst>
            <a:ext uri="{FF2B5EF4-FFF2-40B4-BE49-F238E27FC236}">
              <a16:creationId xmlns:a16="http://schemas.microsoft.com/office/drawing/2014/main" id="{30F51093-905D-40AC-A6B0-5A1F3BDB108E}"/>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37" name="CaixaDeTexto 1036">
          <a:extLst>
            <a:ext uri="{FF2B5EF4-FFF2-40B4-BE49-F238E27FC236}">
              <a16:creationId xmlns:a16="http://schemas.microsoft.com/office/drawing/2014/main" id="{0B2024D1-FE34-47D2-92E5-E53D6D117AA3}"/>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476</xdr:row>
      <xdr:rowOff>0</xdr:rowOff>
    </xdr:from>
    <xdr:ext cx="184731" cy="264560"/>
    <xdr:sp macro="" textlink="">
      <xdr:nvSpPr>
        <xdr:cNvPr id="1038" name="CaixaDeTexto 1037">
          <a:extLst>
            <a:ext uri="{FF2B5EF4-FFF2-40B4-BE49-F238E27FC236}">
              <a16:creationId xmlns:a16="http://schemas.microsoft.com/office/drawing/2014/main" id="{AA5EFD6A-4BBF-49AB-B624-53A0FEDF5E97}"/>
            </a:ext>
          </a:extLst>
        </xdr:cNvPr>
        <xdr:cNvSpPr txBox="1"/>
      </xdr:nvSpPr>
      <xdr:spPr>
        <a:xfrm>
          <a:off x="5278967" y="9485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39" name="CaixaDeTexto 1038">
          <a:extLst>
            <a:ext uri="{FF2B5EF4-FFF2-40B4-BE49-F238E27FC236}">
              <a16:creationId xmlns:a16="http://schemas.microsoft.com/office/drawing/2014/main" id="{A93623F5-ABDB-4C19-8EAB-E132808E4E86}"/>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40" name="CaixaDeTexto 1039">
          <a:extLst>
            <a:ext uri="{FF2B5EF4-FFF2-40B4-BE49-F238E27FC236}">
              <a16:creationId xmlns:a16="http://schemas.microsoft.com/office/drawing/2014/main" id="{6AB96ACA-92C1-4851-8367-4B5566942830}"/>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41" name="CaixaDeTexto 1040">
          <a:extLst>
            <a:ext uri="{FF2B5EF4-FFF2-40B4-BE49-F238E27FC236}">
              <a16:creationId xmlns:a16="http://schemas.microsoft.com/office/drawing/2014/main" id="{C8B70B90-CE60-41AA-BF96-A744001C6CCE}"/>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42" name="CaixaDeTexto 1041">
          <a:extLst>
            <a:ext uri="{FF2B5EF4-FFF2-40B4-BE49-F238E27FC236}">
              <a16:creationId xmlns:a16="http://schemas.microsoft.com/office/drawing/2014/main" id="{333C00CA-6BFB-44F8-A341-B22835CB8356}"/>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43" name="CaixaDeTexto 1042">
          <a:extLst>
            <a:ext uri="{FF2B5EF4-FFF2-40B4-BE49-F238E27FC236}">
              <a16:creationId xmlns:a16="http://schemas.microsoft.com/office/drawing/2014/main" id="{5BABC330-B03D-44A8-8E7B-D103C0EC33FF}"/>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44" name="CaixaDeTexto 1043">
          <a:extLst>
            <a:ext uri="{FF2B5EF4-FFF2-40B4-BE49-F238E27FC236}">
              <a16:creationId xmlns:a16="http://schemas.microsoft.com/office/drawing/2014/main" id="{C5532950-8116-482B-A3A7-9C74CF5B7C4F}"/>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477</xdr:row>
      <xdr:rowOff>0</xdr:rowOff>
    </xdr:from>
    <xdr:ext cx="184731" cy="264560"/>
    <xdr:sp macro="" textlink="">
      <xdr:nvSpPr>
        <xdr:cNvPr id="1045" name="CaixaDeTexto 1044">
          <a:extLst>
            <a:ext uri="{FF2B5EF4-FFF2-40B4-BE49-F238E27FC236}">
              <a16:creationId xmlns:a16="http://schemas.microsoft.com/office/drawing/2014/main" id="{EAB26011-D530-4284-BCCC-CCE9B4F4A12A}"/>
            </a:ext>
          </a:extLst>
        </xdr:cNvPr>
        <xdr:cNvSpPr txBox="1"/>
      </xdr:nvSpPr>
      <xdr:spPr>
        <a:xfrm>
          <a:off x="5278967" y="950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052" name="CaixaDeTexto 1051">
          <a:extLst>
            <a:ext uri="{FF2B5EF4-FFF2-40B4-BE49-F238E27FC236}">
              <a16:creationId xmlns:a16="http://schemas.microsoft.com/office/drawing/2014/main" id="{D6C59CC4-8A45-4FE6-9013-BD44228FC15A}"/>
            </a:ext>
          </a:extLst>
        </xdr:cNvPr>
        <xdr:cNvSpPr txBox="1"/>
      </xdr:nvSpPr>
      <xdr:spPr>
        <a:xfrm>
          <a:off x="5284410" y="6867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053" name="CaixaDeTexto 1052">
          <a:extLst>
            <a:ext uri="{FF2B5EF4-FFF2-40B4-BE49-F238E27FC236}">
              <a16:creationId xmlns:a16="http://schemas.microsoft.com/office/drawing/2014/main" id="{2EB651B7-84D5-41BE-AC5E-56C0A93C85CF}"/>
            </a:ext>
          </a:extLst>
        </xdr:cNvPr>
        <xdr:cNvSpPr txBox="1"/>
      </xdr:nvSpPr>
      <xdr:spPr>
        <a:xfrm>
          <a:off x="5284410" y="6867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054" name="CaixaDeTexto 1053">
          <a:extLst>
            <a:ext uri="{FF2B5EF4-FFF2-40B4-BE49-F238E27FC236}">
              <a16:creationId xmlns:a16="http://schemas.microsoft.com/office/drawing/2014/main" id="{CB25D606-5015-47E9-BC3D-7AB38039C850}"/>
            </a:ext>
          </a:extLst>
        </xdr:cNvPr>
        <xdr:cNvSpPr txBox="1"/>
      </xdr:nvSpPr>
      <xdr:spPr>
        <a:xfrm>
          <a:off x="5284410" y="6867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055" name="CaixaDeTexto 1054">
          <a:extLst>
            <a:ext uri="{FF2B5EF4-FFF2-40B4-BE49-F238E27FC236}">
              <a16:creationId xmlns:a16="http://schemas.microsoft.com/office/drawing/2014/main" id="{36459B1F-A29E-4CEA-AEC9-FDCCB547A614}"/>
            </a:ext>
          </a:extLst>
        </xdr:cNvPr>
        <xdr:cNvSpPr txBox="1"/>
      </xdr:nvSpPr>
      <xdr:spPr>
        <a:xfrm>
          <a:off x="5284410" y="6867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056" name="CaixaDeTexto 1055">
          <a:extLst>
            <a:ext uri="{FF2B5EF4-FFF2-40B4-BE49-F238E27FC236}">
              <a16:creationId xmlns:a16="http://schemas.microsoft.com/office/drawing/2014/main" id="{BD979467-B59C-4900-8E3E-6A645D598ABE}"/>
            </a:ext>
          </a:extLst>
        </xdr:cNvPr>
        <xdr:cNvSpPr txBox="1"/>
      </xdr:nvSpPr>
      <xdr:spPr>
        <a:xfrm>
          <a:off x="5284410" y="6867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057" name="CaixaDeTexto 1056">
          <a:extLst>
            <a:ext uri="{FF2B5EF4-FFF2-40B4-BE49-F238E27FC236}">
              <a16:creationId xmlns:a16="http://schemas.microsoft.com/office/drawing/2014/main" id="{40BC7690-E0D4-4CA5-972C-C906F424A1BC}"/>
            </a:ext>
          </a:extLst>
        </xdr:cNvPr>
        <xdr:cNvSpPr txBox="1"/>
      </xdr:nvSpPr>
      <xdr:spPr>
        <a:xfrm>
          <a:off x="5284410" y="6867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58" name="CaixaDeTexto 1057">
          <a:extLst>
            <a:ext uri="{FF2B5EF4-FFF2-40B4-BE49-F238E27FC236}">
              <a16:creationId xmlns:a16="http://schemas.microsoft.com/office/drawing/2014/main" id="{348073D4-5331-49B7-A630-241114A629F6}"/>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59" name="CaixaDeTexto 1058">
          <a:extLst>
            <a:ext uri="{FF2B5EF4-FFF2-40B4-BE49-F238E27FC236}">
              <a16:creationId xmlns:a16="http://schemas.microsoft.com/office/drawing/2014/main" id="{10152A86-130A-44B4-9259-80B2576722F3}"/>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0" name="CaixaDeTexto 1059">
          <a:extLst>
            <a:ext uri="{FF2B5EF4-FFF2-40B4-BE49-F238E27FC236}">
              <a16:creationId xmlns:a16="http://schemas.microsoft.com/office/drawing/2014/main" id="{27FA72CD-11FD-452B-98F9-041C76415119}"/>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1" name="CaixaDeTexto 1060">
          <a:extLst>
            <a:ext uri="{FF2B5EF4-FFF2-40B4-BE49-F238E27FC236}">
              <a16:creationId xmlns:a16="http://schemas.microsoft.com/office/drawing/2014/main" id="{BA79D19F-223D-4133-B6CE-C8282F06A084}"/>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2" name="CaixaDeTexto 1061">
          <a:extLst>
            <a:ext uri="{FF2B5EF4-FFF2-40B4-BE49-F238E27FC236}">
              <a16:creationId xmlns:a16="http://schemas.microsoft.com/office/drawing/2014/main" id="{FD2402F9-16AE-4CC0-9732-17DEB2451E9D}"/>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3" name="CaixaDeTexto 1062">
          <a:extLst>
            <a:ext uri="{FF2B5EF4-FFF2-40B4-BE49-F238E27FC236}">
              <a16:creationId xmlns:a16="http://schemas.microsoft.com/office/drawing/2014/main" id="{2AB0758D-C1C5-4713-9483-79B30C2E9BEF}"/>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4" name="CaixaDeTexto 1063">
          <a:extLst>
            <a:ext uri="{FF2B5EF4-FFF2-40B4-BE49-F238E27FC236}">
              <a16:creationId xmlns:a16="http://schemas.microsoft.com/office/drawing/2014/main" id="{8E4D3E23-BE25-4DA7-949B-B4E9EEAEF092}"/>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5" name="CaixaDeTexto 1064">
          <a:extLst>
            <a:ext uri="{FF2B5EF4-FFF2-40B4-BE49-F238E27FC236}">
              <a16:creationId xmlns:a16="http://schemas.microsoft.com/office/drawing/2014/main" id="{4CD5AA8D-2449-4D4A-BE18-5822E322D0CE}"/>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323</xdr:row>
      <xdr:rowOff>0</xdr:rowOff>
    </xdr:from>
    <xdr:ext cx="184731" cy="264560"/>
    <xdr:sp macro="" textlink="">
      <xdr:nvSpPr>
        <xdr:cNvPr id="1066" name="CaixaDeTexto 1065">
          <a:extLst>
            <a:ext uri="{FF2B5EF4-FFF2-40B4-BE49-F238E27FC236}">
              <a16:creationId xmlns:a16="http://schemas.microsoft.com/office/drawing/2014/main" id="{00C47CA8-84D8-4A4B-96E2-8D4386E1DE28}"/>
            </a:ext>
          </a:extLst>
        </xdr:cNvPr>
        <xdr:cNvSpPr txBox="1"/>
      </xdr:nvSpPr>
      <xdr:spPr>
        <a:xfrm>
          <a:off x="5284410" y="624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067" name="CaixaDeTexto 1066">
          <a:extLst>
            <a:ext uri="{FF2B5EF4-FFF2-40B4-BE49-F238E27FC236}">
              <a16:creationId xmlns:a16="http://schemas.microsoft.com/office/drawing/2014/main" id="{A9F1713F-D24B-462C-B4B9-D7556681C209}"/>
            </a:ext>
          </a:extLst>
        </xdr:cNvPr>
        <xdr:cNvSpPr txBox="1"/>
      </xdr:nvSpPr>
      <xdr:spPr>
        <a:xfrm>
          <a:off x="5284410" y="6260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068" name="CaixaDeTexto 1067">
          <a:extLst>
            <a:ext uri="{FF2B5EF4-FFF2-40B4-BE49-F238E27FC236}">
              <a16:creationId xmlns:a16="http://schemas.microsoft.com/office/drawing/2014/main" id="{9E54CDAE-7439-4105-B77A-FB21C157B692}"/>
            </a:ext>
          </a:extLst>
        </xdr:cNvPr>
        <xdr:cNvSpPr txBox="1"/>
      </xdr:nvSpPr>
      <xdr:spPr>
        <a:xfrm>
          <a:off x="5284410" y="6260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069" name="CaixaDeTexto 1068">
          <a:extLst>
            <a:ext uri="{FF2B5EF4-FFF2-40B4-BE49-F238E27FC236}">
              <a16:creationId xmlns:a16="http://schemas.microsoft.com/office/drawing/2014/main" id="{A11BCDFB-3EB4-4574-BA65-6CDA6FDD1998}"/>
            </a:ext>
          </a:extLst>
        </xdr:cNvPr>
        <xdr:cNvSpPr txBox="1"/>
      </xdr:nvSpPr>
      <xdr:spPr>
        <a:xfrm>
          <a:off x="5284410" y="6260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070" name="CaixaDeTexto 1069">
          <a:extLst>
            <a:ext uri="{FF2B5EF4-FFF2-40B4-BE49-F238E27FC236}">
              <a16:creationId xmlns:a16="http://schemas.microsoft.com/office/drawing/2014/main" id="{C9985E1C-E55E-4E34-88E4-837A21E2E865}"/>
            </a:ext>
          </a:extLst>
        </xdr:cNvPr>
        <xdr:cNvSpPr txBox="1"/>
      </xdr:nvSpPr>
      <xdr:spPr>
        <a:xfrm>
          <a:off x="5284410" y="6260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071" name="CaixaDeTexto 1070">
          <a:extLst>
            <a:ext uri="{FF2B5EF4-FFF2-40B4-BE49-F238E27FC236}">
              <a16:creationId xmlns:a16="http://schemas.microsoft.com/office/drawing/2014/main" id="{428597B4-46BB-4F62-A1F2-6F8E14EC4113}"/>
            </a:ext>
          </a:extLst>
        </xdr:cNvPr>
        <xdr:cNvSpPr txBox="1"/>
      </xdr:nvSpPr>
      <xdr:spPr>
        <a:xfrm>
          <a:off x="5284410" y="6260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324</xdr:row>
      <xdr:rowOff>0</xdr:rowOff>
    </xdr:from>
    <xdr:ext cx="184731" cy="264560"/>
    <xdr:sp macro="" textlink="">
      <xdr:nvSpPr>
        <xdr:cNvPr id="1072" name="CaixaDeTexto 1071">
          <a:extLst>
            <a:ext uri="{FF2B5EF4-FFF2-40B4-BE49-F238E27FC236}">
              <a16:creationId xmlns:a16="http://schemas.microsoft.com/office/drawing/2014/main" id="{7960C896-9155-4B7C-B1CB-C8B4030D95E7}"/>
            </a:ext>
          </a:extLst>
        </xdr:cNvPr>
        <xdr:cNvSpPr txBox="1"/>
      </xdr:nvSpPr>
      <xdr:spPr>
        <a:xfrm>
          <a:off x="5284410" y="6260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73" name="CaixaDeTexto 1072">
          <a:extLst>
            <a:ext uri="{FF2B5EF4-FFF2-40B4-BE49-F238E27FC236}">
              <a16:creationId xmlns:a16="http://schemas.microsoft.com/office/drawing/2014/main" id="{134C934D-F723-450F-AD50-0569A7C67658}"/>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74" name="CaixaDeTexto 1073">
          <a:extLst>
            <a:ext uri="{FF2B5EF4-FFF2-40B4-BE49-F238E27FC236}">
              <a16:creationId xmlns:a16="http://schemas.microsoft.com/office/drawing/2014/main" id="{EFCAF9DC-BC60-4730-B0FD-A3CC19F68BFA}"/>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75" name="CaixaDeTexto 1074">
          <a:extLst>
            <a:ext uri="{FF2B5EF4-FFF2-40B4-BE49-F238E27FC236}">
              <a16:creationId xmlns:a16="http://schemas.microsoft.com/office/drawing/2014/main" id="{D36673EA-2C15-4F83-977E-2232B593574C}"/>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76" name="CaixaDeTexto 1075">
          <a:extLst>
            <a:ext uri="{FF2B5EF4-FFF2-40B4-BE49-F238E27FC236}">
              <a16:creationId xmlns:a16="http://schemas.microsoft.com/office/drawing/2014/main" id="{290B2C45-E6A7-4EC4-AC31-AAD31DC80747}"/>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77" name="CaixaDeTexto 1076">
          <a:extLst>
            <a:ext uri="{FF2B5EF4-FFF2-40B4-BE49-F238E27FC236}">
              <a16:creationId xmlns:a16="http://schemas.microsoft.com/office/drawing/2014/main" id="{85CE30D3-D1B9-41C0-9C71-D818252D5C43}"/>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78" name="CaixaDeTexto 1077">
          <a:extLst>
            <a:ext uri="{FF2B5EF4-FFF2-40B4-BE49-F238E27FC236}">
              <a16:creationId xmlns:a16="http://schemas.microsoft.com/office/drawing/2014/main" id="{68FC84AB-26AE-4EA8-B6B8-84416137AA4E}"/>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79" name="CaixaDeTexto 1078">
          <a:extLst>
            <a:ext uri="{FF2B5EF4-FFF2-40B4-BE49-F238E27FC236}">
              <a16:creationId xmlns:a16="http://schemas.microsoft.com/office/drawing/2014/main" id="{99A3DFA9-D213-48D1-A3D3-56187335F1F2}"/>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0" name="CaixaDeTexto 1079">
          <a:extLst>
            <a:ext uri="{FF2B5EF4-FFF2-40B4-BE49-F238E27FC236}">
              <a16:creationId xmlns:a16="http://schemas.microsoft.com/office/drawing/2014/main" id="{B46908DE-6857-4ED1-BA9E-AA4440E18363}"/>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1" name="CaixaDeTexto 1080">
          <a:extLst>
            <a:ext uri="{FF2B5EF4-FFF2-40B4-BE49-F238E27FC236}">
              <a16:creationId xmlns:a16="http://schemas.microsoft.com/office/drawing/2014/main" id="{0970930E-4809-496F-9FF3-C94A2DEEF124}"/>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2" name="CaixaDeTexto 1081">
          <a:extLst>
            <a:ext uri="{FF2B5EF4-FFF2-40B4-BE49-F238E27FC236}">
              <a16:creationId xmlns:a16="http://schemas.microsoft.com/office/drawing/2014/main" id="{6CF2E24A-49DD-4A64-B2D8-409C39E97B4C}"/>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3" name="CaixaDeTexto 1082">
          <a:extLst>
            <a:ext uri="{FF2B5EF4-FFF2-40B4-BE49-F238E27FC236}">
              <a16:creationId xmlns:a16="http://schemas.microsoft.com/office/drawing/2014/main" id="{C30E924D-690F-4315-B848-3A95EED62F24}"/>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4" name="CaixaDeTexto 1083">
          <a:extLst>
            <a:ext uri="{FF2B5EF4-FFF2-40B4-BE49-F238E27FC236}">
              <a16:creationId xmlns:a16="http://schemas.microsoft.com/office/drawing/2014/main" id="{8EBC78B6-34CF-414F-BD56-F89398E26396}"/>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5" name="CaixaDeTexto 1084">
          <a:extLst>
            <a:ext uri="{FF2B5EF4-FFF2-40B4-BE49-F238E27FC236}">
              <a16:creationId xmlns:a16="http://schemas.microsoft.com/office/drawing/2014/main" id="{DC13023F-9C1B-4925-8B14-52FD5E38955B}"/>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6" name="CaixaDeTexto 1085">
          <a:extLst>
            <a:ext uri="{FF2B5EF4-FFF2-40B4-BE49-F238E27FC236}">
              <a16:creationId xmlns:a16="http://schemas.microsoft.com/office/drawing/2014/main" id="{6F391BC1-746A-444B-80E9-F7687B3CA5DB}"/>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087" name="CaixaDeTexto 1086">
          <a:extLst>
            <a:ext uri="{FF2B5EF4-FFF2-40B4-BE49-F238E27FC236}">
              <a16:creationId xmlns:a16="http://schemas.microsoft.com/office/drawing/2014/main" id="{098CA6FD-109E-4BC7-94BB-6E06BEA71F7B}"/>
            </a:ext>
          </a:extLst>
        </xdr:cNvPr>
        <xdr:cNvSpPr txBox="1"/>
      </xdr:nvSpPr>
      <xdr:spPr>
        <a:xfrm>
          <a:off x="5284410" y="637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88" name="CaixaDeTexto 1087">
          <a:extLst>
            <a:ext uri="{FF2B5EF4-FFF2-40B4-BE49-F238E27FC236}">
              <a16:creationId xmlns:a16="http://schemas.microsoft.com/office/drawing/2014/main" id="{E8DB27B6-958C-42E0-B1C2-7E3D2C52D07F}"/>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89" name="CaixaDeTexto 1088">
          <a:extLst>
            <a:ext uri="{FF2B5EF4-FFF2-40B4-BE49-F238E27FC236}">
              <a16:creationId xmlns:a16="http://schemas.microsoft.com/office/drawing/2014/main" id="{DA609E68-B940-4CB5-818D-C1B2D0414DDB}"/>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90" name="CaixaDeTexto 1089">
          <a:extLst>
            <a:ext uri="{FF2B5EF4-FFF2-40B4-BE49-F238E27FC236}">
              <a16:creationId xmlns:a16="http://schemas.microsoft.com/office/drawing/2014/main" id="{5E011C8D-2E57-4499-85D6-A23A03A3C895}"/>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91" name="CaixaDeTexto 1090">
          <a:extLst>
            <a:ext uri="{FF2B5EF4-FFF2-40B4-BE49-F238E27FC236}">
              <a16:creationId xmlns:a16="http://schemas.microsoft.com/office/drawing/2014/main" id="{A55A1A62-73E8-45D6-AE6E-5F5B20C908C5}"/>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92" name="CaixaDeTexto 1091">
          <a:extLst>
            <a:ext uri="{FF2B5EF4-FFF2-40B4-BE49-F238E27FC236}">
              <a16:creationId xmlns:a16="http://schemas.microsoft.com/office/drawing/2014/main" id="{96A8A4AC-178A-4597-B936-AB2E22182A81}"/>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093" name="CaixaDeTexto 1092">
          <a:extLst>
            <a:ext uri="{FF2B5EF4-FFF2-40B4-BE49-F238E27FC236}">
              <a16:creationId xmlns:a16="http://schemas.microsoft.com/office/drawing/2014/main" id="{0F484A15-0C4B-41CE-8DBC-A25F07867E04}"/>
            </a:ext>
          </a:extLst>
        </xdr:cNvPr>
        <xdr:cNvSpPr txBox="1"/>
      </xdr:nvSpPr>
      <xdr:spPr>
        <a:xfrm>
          <a:off x="5284410" y="63975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094" name="CaixaDeTexto 1093">
          <a:extLst>
            <a:ext uri="{FF2B5EF4-FFF2-40B4-BE49-F238E27FC236}">
              <a16:creationId xmlns:a16="http://schemas.microsoft.com/office/drawing/2014/main" id="{82E2A1EB-1A21-49E8-889F-B204790150C1}"/>
            </a:ext>
          </a:extLst>
        </xdr:cNvPr>
        <xdr:cNvSpPr txBox="1"/>
      </xdr:nvSpPr>
      <xdr:spPr>
        <a:xfrm>
          <a:off x="5284410" y="7867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095" name="CaixaDeTexto 1094">
          <a:extLst>
            <a:ext uri="{FF2B5EF4-FFF2-40B4-BE49-F238E27FC236}">
              <a16:creationId xmlns:a16="http://schemas.microsoft.com/office/drawing/2014/main" id="{A34B7343-2A25-4288-9CAD-24A43C93D6E6}"/>
            </a:ext>
          </a:extLst>
        </xdr:cNvPr>
        <xdr:cNvSpPr txBox="1"/>
      </xdr:nvSpPr>
      <xdr:spPr>
        <a:xfrm>
          <a:off x="5284410" y="7867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096" name="CaixaDeTexto 1095">
          <a:extLst>
            <a:ext uri="{FF2B5EF4-FFF2-40B4-BE49-F238E27FC236}">
              <a16:creationId xmlns:a16="http://schemas.microsoft.com/office/drawing/2014/main" id="{454A0A5D-A181-44A3-BC52-7AD8B086CA45}"/>
            </a:ext>
          </a:extLst>
        </xdr:cNvPr>
        <xdr:cNvSpPr txBox="1"/>
      </xdr:nvSpPr>
      <xdr:spPr>
        <a:xfrm>
          <a:off x="5284410" y="788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097" name="CaixaDeTexto 1096">
          <a:extLst>
            <a:ext uri="{FF2B5EF4-FFF2-40B4-BE49-F238E27FC236}">
              <a16:creationId xmlns:a16="http://schemas.microsoft.com/office/drawing/2014/main" id="{D501F1B6-8239-462A-A861-7E6CD495379D}"/>
            </a:ext>
          </a:extLst>
        </xdr:cNvPr>
        <xdr:cNvSpPr txBox="1"/>
      </xdr:nvSpPr>
      <xdr:spPr>
        <a:xfrm>
          <a:off x="5284410" y="7867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098" name="CaixaDeTexto 1097">
          <a:extLst>
            <a:ext uri="{FF2B5EF4-FFF2-40B4-BE49-F238E27FC236}">
              <a16:creationId xmlns:a16="http://schemas.microsoft.com/office/drawing/2014/main" id="{D66EA769-249F-4AF7-88F6-7005AE9ECD57}"/>
            </a:ext>
          </a:extLst>
        </xdr:cNvPr>
        <xdr:cNvSpPr txBox="1"/>
      </xdr:nvSpPr>
      <xdr:spPr>
        <a:xfrm>
          <a:off x="5284410" y="7867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099" name="CaixaDeTexto 1098">
          <a:extLst>
            <a:ext uri="{FF2B5EF4-FFF2-40B4-BE49-F238E27FC236}">
              <a16:creationId xmlns:a16="http://schemas.microsoft.com/office/drawing/2014/main" id="{324B7293-1A4F-4E9E-9509-88602E00F6A9}"/>
            </a:ext>
          </a:extLst>
        </xdr:cNvPr>
        <xdr:cNvSpPr txBox="1"/>
      </xdr:nvSpPr>
      <xdr:spPr>
        <a:xfrm>
          <a:off x="5284410" y="788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100" name="CaixaDeTexto 1099">
          <a:extLst>
            <a:ext uri="{FF2B5EF4-FFF2-40B4-BE49-F238E27FC236}">
              <a16:creationId xmlns:a16="http://schemas.microsoft.com/office/drawing/2014/main" id="{B6D648C8-78DE-426E-859C-54F1B4F9C30D}"/>
            </a:ext>
          </a:extLst>
        </xdr:cNvPr>
        <xdr:cNvSpPr txBox="1"/>
      </xdr:nvSpPr>
      <xdr:spPr>
        <a:xfrm>
          <a:off x="5284410" y="7867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388</xdr:row>
      <xdr:rowOff>0</xdr:rowOff>
    </xdr:from>
    <xdr:ext cx="184731" cy="264560"/>
    <xdr:sp macro="" textlink="">
      <xdr:nvSpPr>
        <xdr:cNvPr id="1101" name="CaixaDeTexto 1100">
          <a:extLst>
            <a:ext uri="{FF2B5EF4-FFF2-40B4-BE49-F238E27FC236}">
              <a16:creationId xmlns:a16="http://schemas.microsoft.com/office/drawing/2014/main" id="{E56E1FFC-C45B-4E8A-8CB2-F221ACCD801F}"/>
            </a:ext>
          </a:extLst>
        </xdr:cNvPr>
        <xdr:cNvSpPr txBox="1"/>
      </xdr:nvSpPr>
      <xdr:spPr>
        <a:xfrm>
          <a:off x="5284410" y="78671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102" name="CaixaDeTexto 1101">
          <a:extLst>
            <a:ext uri="{FF2B5EF4-FFF2-40B4-BE49-F238E27FC236}">
              <a16:creationId xmlns:a16="http://schemas.microsoft.com/office/drawing/2014/main" id="{E8574655-8C9C-4920-8DEC-7C9FA58F07C0}"/>
            </a:ext>
          </a:extLst>
        </xdr:cNvPr>
        <xdr:cNvSpPr txBox="1"/>
      </xdr:nvSpPr>
      <xdr:spPr>
        <a:xfrm>
          <a:off x="5284410" y="788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252</xdr:row>
      <xdr:rowOff>0</xdr:rowOff>
    </xdr:from>
    <xdr:ext cx="184731" cy="264560"/>
    <xdr:sp macro="" textlink="">
      <xdr:nvSpPr>
        <xdr:cNvPr id="1046" name="CaixaDeTexto 1045">
          <a:extLst>
            <a:ext uri="{FF2B5EF4-FFF2-40B4-BE49-F238E27FC236}">
              <a16:creationId xmlns:a16="http://schemas.microsoft.com/office/drawing/2014/main" id="{6F1C51C5-596E-4ACE-95AB-AB4F930EC3D5}"/>
            </a:ext>
          </a:extLst>
        </xdr:cNvPr>
        <xdr:cNvSpPr txBox="1"/>
      </xdr:nvSpPr>
      <xdr:spPr>
        <a:xfrm>
          <a:off x="5275157" y="5038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252</xdr:row>
      <xdr:rowOff>0</xdr:rowOff>
    </xdr:from>
    <xdr:ext cx="184731" cy="264560"/>
    <xdr:sp macro="" textlink="">
      <xdr:nvSpPr>
        <xdr:cNvPr id="1047" name="CaixaDeTexto 1046">
          <a:extLst>
            <a:ext uri="{FF2B5EF4-FFF2-40B4-BE49-F238E27FC236}">
              <a16:creationId xmlns:a16="http://schemas.microsoft.com/office/drawing/2014/main" id="{05B60625-A7C7-4382-8D14-B02878F4494C}"/>
            </a:ext>
          </a:extLst>
        </xdr:cNvPr>
        <xdr:cNvSpPr txBox="1"/>
      </xdr:nvSpPr>
      <xdr:spPr>
        <a:xfrm>
          <a:off x="5275157" y="5038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252</xdr:row>
      <xdr:rowOff>0</xdr:rowOff>
    </xdr:from>
    <xdr:ext cx="184731" cy="264560"/>
    <xdr:sp macro="" textlink="">
      <xdr:nvSpPr>
        <xdr:cNvPr id="1048" name="CaixaDeTexto 1047">
          <a:extLst>
            <a:ext uri="{FF2B5EF4-FFF2-40B4-BE49-F238E27FC236}">
              <a16:creationId xmlns:a16="http://schemas.microsoft.com/office/drawing/2014/main" id="{3E892947-190F-403B-9D9A-66BE053C5550}"/>
            </a:ext>
          </a:extLst>
        </xdr:cNvPr>
        <xdr:cNvSpPr txBox="1"/>
      </xdr:nvSpPr>
      <xdr:spPr>
        <a:xfrm>
          <a:off x="5275157" y="5038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1049" name="CaixaDeTexto 1048">
          <a:extLst>
            <a:ext uri="{FF2B5EF4-FFF2-40B4-BE49-F238E27FC236}">
              <a16:creationId xmlns:a16="http://schemas.microsoft.com/office/drawing/2014/main" id="{3711B791-B24B-42CF-9CA4-48D5C6E86D53}"/>
            </a:ext>
          </a:extLst>
        </xdr:cNvPr>
        <xdr:cNvSpPr txBox="1"/>
      </xdr:nvSpPr>
      <xdr:spPr>
        <a:xfrm>
          <a:off x="5275157" y="551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1050" name="CaixaDeTexto 1049">
          <a:extLst>
            <a:ext uri="{FF2B5EF4-FFF2-40B4-BE49-F238E27FC236}">
              <a16:creationId xmlns:a16="http://schemas.microsoft.com/office/drawing/2014/main" id="{94E4E663-F2D2-469B-A1BF-B48944492E66}"/>
            </a:ext>
          </a:extLst>
        </xdr:cNvPr>
        <xdr:cNvSpPr txBox="1"/>
      </xdr:nvSpPr>
      <xdr:spPr>
        <a:xfrm>
          <a:off x="5275157" y="551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1051" name="CaixaDeTexto 1050">
          <a:extLst>
            <a:ext uri="{FF2B5EF4-FFF2-40B4-BE49-F238E27FC236}">
              <a16:creationId xmlns:a16="http://schemas.microsoft.com/office/drawing/2014/main" id="{AEE59D04-2619-4207-AD67-9EB2C90882F9}"/>
            </a:ext>
          </a:extLst>
        </xdr:cNvPr>
        <xdr:cNvSpPr txBox="1"/>
      </xdr:nvSpPr>
      <xdr:spPr>
        <a:xfrm>
          <a:off x="5275157" y="551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1103" name="CaixaDeTexto 1102">
          <a:extLst>
            <a:ext uri="{FF2B5EF4-FFF2-40B4-BE49-F238E27FC236}">
              <a16:creationId xmlns:a16="http://schemas.microsoft.com/office/drawing/2014/main" id="{8CB50521-A906-46C8-8CCE-702DAEA94AAF}"/>
            </a:ext>
          </a:extLst>
        </xdr:cNvPr>
        <xdr:cNvSpPr txBox="1"/>
      </xdr:nvSpPr>
      <xdr:spPr>
        <a:xfrm>
          <a:off x="5275157" y="551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1104" name="CaixaDeTexto 1103">
          <a:extLst>
            <a:ext uri="{FF2B5EF4-FFF2-40B4-BE49-F238E27FC236}">
              <a16:creationId xmlns:a16="http://schemas.microsoft.com/office/drawing/2014/main" id="{92B51B51-71FF-4C50-B9C9-5A4B8B06A346}"/>
            </a:ext>
          </a:extLst>
        </xdr:cNvPr>
        <xdr:cNvSpPr txBox="1"/>
      </xdr:nvSpPr>
      <xdr:spPr>
        <a:xfrm>
          <a:off x="5275157" y="551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276</xdr:row>
      <xdr:rowOff>0</xdr:rowOff>
    </xdr:from>
    <xdr:ext cx="184731" cy="264560"/>
    <xdr:sp macro="" textlink="">
      <xdr:nvSpPr>
        <xdr:cNvPr id="1105" name="CaixaDeTexto 1104">
          <a:extLst>
            <a:ext uri="{FF2B5EF4-FFF2-40B4-BE49-F238E27FC236}">
              <a16:creationId xmlns:a16="http://schemas.microsoft.com/office/drawing/2014/main" id="{265793F9-AC5F-4AF3-A930-E1954AAFC7A9}"/>
            </a:ext>
          </a:extLst>
        </xdr:cNvPr>
        <xdr:cNvSpPr txBox="1"/>
      </xdr:nvSpPr>
      <xdr:spPr>
        <a:xfrm>
          <a:off x="5275157" y="551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06" name="CaixaDeTexto 1105">
          <a:extLst>
            <a:ext uri="{FF2B5EF4-FFF2-40B4-BE49-F238E27FC236}">
              <a16:creationId xmlns:a16="http://schemas.microsoft.com/office/drawing/2014/main" id="{01D076B4-4A35-469D-9863-A4895A70825D}"/>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07" name="CaixaDeTexto 1106">
          <a:extLst>
            <a:ext uri="{FF2B5EF4-FFF2-40B4-BE49-F238E27FC236}">
              <a16:creationId xmlns:a16="http://schemas.microsoft.com/office/drawing/2014/main" id="{5ED511AB-0303-40DE-8689-A4C6539EF08F}"/>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08" name="CaixaDeTexto 1107">
          <a:extLst>
            <a:ext uri="{FF2B5EF4-FFF2-40B4-BE49-F238E27FC236}">
              <a16:creationId xmlns:a16="http://schemas.microsoft.com/office/drawing/2014/main" id="{7B1BA807-8136-4102-B97B-48BFFB03069C}"/>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09" name="CaixaDeTexto 1108">
          <a:extLst>
            <a:ext uri="{FF2B5EF4-FFF2-40B4-BE49-F238E27FC236}">
              <a16:creationId xmlns:a16="http://schemas.microsoft.com/office/drawing/2014/main" id="{A275A8EF-C7F3-4995-BDE8-B6867A714DAA}"/>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10" name="CaixaDeTexto 1109">
          <a:extLst>
            <a:ext uri="{FF2B5EF4-FFF2-40B4-BE49-F238E27FC236}">
              <a16:creationId xmlns:a16="http://schemas.microsoft.com/office/drawing/2014/main" id="{91586456-2B77-4C61-A32C-7E7F837A9905}"/>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11" name="CaixaDeTexto 1110">
          <a:extLst>
            <a:ext uri="{FF2B5EF4-FFF2-40B4-BE49-F238E27FC236}">
              <a16:creationId xmlns:a16="http://schemas.microsoft.com/office/drawing/2014/main" id="{32945934-7B46-4E16-99BC-00EE0580DF58}"/>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12" name="CaixaDeTexto 1111">
          <a:extLst>
            <a:ext uri="{FF2B5EF4-FFF2-40B4-BE49-F238E27FC236}">
              <a16:creationId xmlns:a16="http://schemas.microsoft.com/office/drawing/2014/main" id="{F3F30E4F-64A3-4099-AFEA-3C42B693B4AA}"/>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13" name="CaixaDeTexto 1112">
          <a:extLst>
            <a:ext uri="{FF2B5EF4-FFF2-40B4-BE49-F238E27FC236}">
              <a16:creationId xmlns:a16="http://schemas.microsoft.com/office/drawing/2014/main" id="{2CD2B4F0-F371-4BD8-8A24-10BF5AB929A6}"/>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292</xdr:row>
      <xdr:rowOff>0</xdr:rowOff>
    </xdr:from>
    <xdr:ext cx="184731" cy="264560"/>
    <xdr:sp macro="" textlink="">
      <xdr:nvSpPr>
        <xdr:cNvPr id="1114" name="CaixaDeTexto 1113">
          <a:extLst>
            <a:ext uri="{FF2B5EF4-FFF2-40B4-BE49-F238E27FC236}">
              <a16:creationId xmlns:a16="http://schemas.microsoft.com/office/drawing/2014/main" id="{74510324-4B97-4BCB-B1BD-9B873D60DAC6}"/>
            </a:ext>
          </a:extLst>
        </xdr:cNvPr>
        <xdr:cNvSpPr txBox="1"/>
      </xdr:nvSpPr>
      <xdr:spPr>
        <a:xfrm>
          <a:off x="5275157"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15" name="CaixaDeTexto 1114">
          <a:extLst>
            <a:ext uri="{FF2B5EF4-FFF2-40B4-BE49-F238E27FC236}">
              <a16:creationId xmlns:a16="http://schemas.microsoft.com/office/drawing/2014/main" id="{ABE32667-FD1F-4064-BE7C-21E2163F9F04}"/>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16" name="CaixaDeTexto 1115">
          <a:extLst>
            <a:ext uri="{FF2B5EF4-FFF2-40B4-BE49-F238E27FC236}">
              <a16:creationId xmlns:a16="http://schemas.microsoft.com/office/drawing/2014/main" id="{BA8A9C95-8EDB-4B57-9AFD-29BA62125AB2}"/>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17" name="CaixaDeTexto 1116">
          <a:extLst>
            <a:ext uri="{FF2B5EF4-FFF2-40B4-BE49-F238E27FC236}">
              <a16:creationId xmlns:a16="http://schemas.microsoft.com/office/drawing/2014/main" id="{0DAF6F99-067D-4608-8D42-2E2AFEE281D6}"/>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18" name="CaixaDeTexto 1117">
          <a:extLst>
            <a:ext uri="{FF2B5EF4-FFF2-40B4-BE49-F238E27FC236}">
              <a16:creationId xmlns:a16="http://schemas.microsoft.com/office/drawing/2014/main" id="{D10CCCF0-4BA2-4A70-8D57-2C8167128EB9}"/>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1119" name="CaixaDeTexto 1118">
          <a:extLst>
            <a:ext uri="{FF2B5EF4-FFF2-40B4-BE49-F238E27FC236}">
              <a16:creationId xmlns:a16="http://schemas.microsoft.com/office/drawing/2014/main" id="{BE5BD942-E255-42D9-8630-34BF5060657E}"/>
            </a:ext>
          </a:extLst>
        </xdr:cNvPr>
        <xdr:cNvSpPr txBox="1"/>
      </xdr:nvSpPr>
      <xdr:spPr>
        <a:xfrm>
          <a:off x="5275157" y="603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1120" name="CaixaDeTexto 1119">
          <a:extLst>
            <a:ext uri="{FF2B5EF4-FFF2-40B4-BE49-F238E27FC236}">
              <a16:creationId xmlns:a16="http://schemas.microsoft.com/office/drawing/2014/main" id="{C26F3A1C-9C1C-43CE-9A80-D0238AD31927}"/>
            </a:ext>
          </a:extLst>
        </xdr:cNvPr>
        <xdr:cNvSpPr txBox="1"/>
      </xdr:nvSpPr>
      <xdr:spPr>
        <a:xfrm>
          <a:off x="5275157" y="603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1" name="CaixaDeTexto 1120">
          <a:extLst>
            <a:ext uri="{FF2B5EF4-FFF2-40B4-BE49-F238E27FC236}">
              <a16:creationId xmlns:a16="http://schemas.microsoft.com/office/drawing/2014/main" id="{66DA8C48-54AA-42A4-A438-9238EF7512AC}"/>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2" name="CaixaDeTexto 1121">
          <a:extLst>
            <a:ext uri="{FF2B5EF4-FFF2-40B4-BE49-F238E27FC236}">
              <a16:creationId xmlns:a16="http://schemas.microsoft.com/office/drawing/2014/main" id="{DB1AFEDA-D831-46A1-9716-19ED15097498}"/>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3" name="CaixaDeTexto 1122">
          <a:extLst>
            <a:ext uri="{FF2B5EF4-FFF2-40B4-BE49-F238E27FC236}">
              <a16:creationId xmlns:a16="http://schemas.microsoft.com/office/drawing/2014/main" id="{14E94B65-3EE4-4DE5-9DF8-F4B6A4A02D14}"/>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4" name="CaixaDeTexto 1123">
          <a:extLst>
            <a:ext uri="{FF2B5EF4-FFF2-40B4-BE49-F238E27FC236}">
              <a16:creationId xmlns:a16="http://schemas.microsoft.com/office/drawing/2014/main" id="{9880AD6D-D709-457B-A45B-6A4BCA690BE2}"/>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1125" name="CaixaDeTexto 1124">
          <a:extLst>
            <a:ext uri="{FF2B5EF4-FFF2-40B4-BE49-F238E27FC236}">
              <a16:creationId xmlns:a16="http://schemas.microsoft.com/office/drawing/2014/main" id="{40BAA784-6168-43AD-955A-B30D3A109881}"/>
            </a:ext>
          </a:extLst>
        </xdr:cNvPr>
        <xdr:cNvSpPr txBox="1"/>
      </xdr:nvSpPr>
      <xdr:spPr>
        <a:xfrm>
          <a:off x="5275157" y="603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1126" name="CaixaDeTexto 1125">
          <a:extLst>
            <a:ext uri="{FF2B5EF4-FFF2-40B4-BE49-F238E27FC236}">
              <a16:creationId xmlns:a16="http://schemas.microsoft.com/office/drawing/2014/main" id="{6DCE6496-C561-41B9-87FF-33AFFD97AE69}"/>
            </a:ext>
          </a:extLst>
        </xdr:cNvPr>
        <xdr:cNvSpPr txBox="1"/>
      </xdr:nvSpPr>
      <xdr:spPr>
        <a:xfrm>
          <a:off x="5275157" y="603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7" name="CaixaDeTexto 1126">
          <a:extLst>
            <a:ext uri="{FF2B5EF4-FFF2-40B4-BE49-F238E27FC236}">
              <a16:creationId xmlns:a16="http://schemas.microsoft.com/office/drawing/2014/main" id="{57C18350-F813-4118-A2CB-66F79CC42317}"/>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8" name="CaixaDeTexto 1127">
          <a:extLst>
            <a:ext uri="{FF2B5EF4-FFF2-40B4-BE49-F238E27FC236}">
              <a16:creationId xmlns:a16="http://schemas.microsoft.com/office/drawing/2014/main" id="{9E89D93D-2C3E-4A24-9E64-DF992F208630}"/>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29" name="CaixaDeTexto 1128">
          <a:extLst>
            <a:ext uri="{FF2B5EF4-FFF2-40B4-BE49-F238E27FC236}">
              <a16:creationId xmlns:a16="http://schemas.microsoft.com/office/drawing/2014/main" id="{9F208E6E-91BE-4316-86CC-2A8FACB9B92B}"/>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0" name="CaixaDeTexto 1129">
          <a:extLst>
            <a:ext uri="{FF2B5EF4-FFF2-40B4-BE49-F238E27FC236}">
              <a16:creationId xmlns:a16="http://schemas.microsoft.com/office/drawing/2014/main" id="{7236C728-49EF-4DDE-A5D0-B69ED527D7D9}"/>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1131" name="CaixaDeTexto 1130">
          <a:extLst>
            <a:ext uri="{FF2B5EF4-FFF2-40B4-BE49-F238E27FC236}">
              <a16:creationId xmlns:a16="http://schemas.microsoft.com/office/drawing/2014/main" id="{F5F51DEF-5759-4C52-9696-C760F05114C4}"/>
            </a:ext>
          </a:extLst>
        </xdr:cNvPr>
        <xdr:cNvSpPr txBox="1"/>
      </xdr:nvSpPr>
      <xdr:spPr>
        <a:xfrm>
          <a:off x="5275157" y="603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301</xdr:row>
      <xdr:rowOff>0</xdr:rowOff>
    </xdr:from>
    <xdr:ext cx="184731" cy="264560"/>
    <xdr:sp macro="" textlink="">
      <xdr:nvSpPr>
        <xdr:cNvPr id="1132" name="CaixaDeTexto 1131">
          <a:extLst>
            <a:ext uri="{FF2B5EF4-FFF2-40B4-BE49-F238E27FC236}">
              <a16:creationId xmlns:a16="http://schemas.microsoft.com/office/drawing/2014/main" id="{34DCB739-A18A-410D-B1EB-F9F177E70582}"/>
            </a:ext>
          </a:extLst>
        </xdr:cNvPr>
        <xdr:cNvSpPr txBox="1"/>
      </xdr:nvSpPr>
      <xdr:spPr>
        <a:xfrm>
          <a:off x="5275157" y="603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3" name="CaixaDeTexto 1132">
          <a:extLst>
            <a:ext uri="{FF2B5EF4-FFF2-40B4-BE49-F238E27FC236}">
              <a16:creationId xmlns:a16="http://schemas.microsoft.com/office/drawing/2014/main" id="{6CA896C4-2EBB-4886-981D-4BF5F11F8ED9}"/>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4" name="CaixaDeTexto 1133">
          <a:extLst>
            <a:ext uri="{FF2B5EF4-FFF2-40B4-BE49-F238E27FC236}">
              <a16:creationId xmlns:a16="http://schemas.microsoft.com/office/drawing/2014/main" id="{C896E586-D79A-4B86-B92D-234A028D0D05}"/>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5" name="CaixaDeTexto 1134">
          <a:extLst>
            <a:ext uri="{FF2B5EF4-FFF2-40B4-BE49-F238E27FC236}">
              <a16:creationId xmlns:a16="http://schemas.microsoft.com/office/drawing/2014/main" id="{1CDB57E7-36D9-4A5E-A075-AB729B6C06D6}"/>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6" name="CaixaDeTexto 1135">
          <a:extLst>
            <a:ext uri="{FF2B5EF4-FFF2-40B4-BE49-F238E27FC236}">
              <a16:creationId xmlns:a16="http://schemas.microsoft.com/office/drawing/2014/main" id="{719BAABC-31E1-458D-9BAC-9338C09B9662}"/>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7" name="CaixaDeTexto 1136">
          <a:extLst>
            <a:ext uri="{FF2B5EF4-FFF2-40B4-BE49-F238E27FC236}">
              <a16:creationId xmlns:a16="http://schemas.microsoft.com/office/drawing/2014/main" id="{0EE10557-D676-452C-AC9F-9F65F67DBB63}"/>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8" name="CaixaDeTexto 1137">
          <a:extLst>
            <a:ext uri="{FF2B5EF4-FFF2-40B4-BE49-F238E27FC236}">
              <a16:creationId xmlns:a16="http://schemas.microsoft.com/office/drawing/2014/main" id="{D4071038-0615-4CD3-BE2D-1E08E59A25FF}"/>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39" name="CaixaDeTexto 1138">
          <a:extLst>
            <a:ext uri="{FF2B5EF4-FFF2-40B4-BE49-F238E27FC236}">
              <a16:creationId xmlns:a16="http://schemas.microsoft.com/office/drawing/2014/main" id="{7CE5BE78-7E75-4C22-A6AF-748C3848DE56}"/>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0" name="CaixaDeTexto 1139">
          <a:extLst>
            <a:ext uri="{FF2B5EF4-FFF2-40B4-BE49-F238E27FC236}">
              <a16:creationId xmlns:a16="http://schemas.microsoft.com/office/drawing/2014/main" id="{741FDBCE-A502-415F-B542-03C83C4B9F71}"/>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1" name="CaixaDeTexto 1140">
          <a:extLst>
            <a:ext uri="{FF2B5EF4-FFF2-40B4-BE49-F238E27FC236}">
              <a16:creationId xmlns:a16="http://schemas.microsoft.com/office/drawing/2014/main" id="{C18E74C1-E3C6-4ED9-B546-3B46CF9E84A9}"/>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2" name="CaixaDeTexto 1141">
          <a:extLst>
            <a:ext uri="{FF2B5EF4-FFF2-40B4-BE49-F238E27FC236}">
              <a16:creationId xmlns:a16="http://schemas.microsoft.com/office/drawing/2014/main" id="{48565542-7943-4F9B-A4A3-45B972C7B00B}"/>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3" name="CaixaDeTexto 1142">
          <a:extLst>
            <a:ext uri="{FF2B5EF4-FFF2-40B4-BE49-F238E27FC236}">
              <a16:creationId xmlns:a16="http://schemas.microsoft.com/office/drawing/2014/main" id="{7A24BEF3-2758-41AA-9859-7688C540CD1D}"/>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4" name="CaixaDeTexto 1143">
          <a:extLst>
            <a:ext uri="{FF2B5EF4-FFF2-40B4-BE49-F238E27FC236}">
              <a16:creationId xmlns:a16="http://schemas.microsoft.com/office/drawing/2014/main" id="{8BA6BB21-4651-4112-80A3-652CCA61A639}"/>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5" name="CaixaDeTexto 1144">
          <a:extLst>
            <a:ext uri="{FF2B5EF4-FFF2-40B4-BE49-F238E27FC236}">
              <a16:creationId xmlns:a16="http://schemas.microsoft.com/office/drawing/2014/main" id="{15638BAD-7730-4FF4-AF88-743BD5F66433}"/>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6" name="CaixaDeTexto 1145">
          <a:extLst>
            <a:ext uri="{FF2B5EF4-FFF2-40B4-BE49-F238E27FC236}">
              <a16:creationId xmlns:a16="http://schemas.microsoft.com/office/drawing/2014/main" id="{CAB3C6F5-BCE5-4E0D-BEEE-8FFFC0CDAC4B}"/>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300</xdr:row>
      <xdr:rowOff>0</xdr:rowOff>
    </xdr:from>
    <xdr:ext cx="184731" cy="264560"/>
    <xdr:sp macro="" textlink="">
      <xdr:nvSpPr>
        <xdr:cNvPr id="1147" name="CaixaDeTexto 1146">
          <a:extLst>
            <a:ext uri="{FF2B5EF4-FFF2-40B4-BE49-F238E27FC236}">
              <a16:creationId xmlns:a16="http://schemas.microsoft.com/office/drawing/2014/main" id="{ACA52F49-BAC8-4F6E-AD71-D9C0304328D3}"/>
            </a:ext>
          </a:extLst>
        </xdr:cNvPr>
        <xdr:cNvSpPr txBox="1"/>
      </xdr:nvSpPr>
      <xdr:spPr>
        <a:xfrm>
          <a:off x="5275157" y="6018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148" name="CaixaDeTexto 1147">
          <a:extLst>
            <a:ext uri="{FF2B5EF4-FFF2-40B4-BE49-F238E27FC236}">
              <a16:creationId xmlns:a16="http://schemas.microsoft.com/office/drawing/2014/main" id="{3BF8158B-79F1-427C-8432-628817EA308A}"/>
            </a:ext>
          </a:extLst>
        </xdr:cNvPr>
        <xdr:cNvSpPr txBox="1"/>
      </xdr:nvSpPr>
      <xdr:spPr>
        <a:xfrm>
          <a:off x="5275157" y="635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149" name="CaixaDeTexto 1148">
          <a:extLst>
            <a:ext uri="{FF2B5EF4-FFF2-40B4-BE49-F238E27FC236}">
              <a16:creationId xmlns:a16="http://schemas.microsoft.com/office/drawing/2014/main" id="{A9303703-F36C-4844-B4D2-7B028FE6DA49}"/>
            </a:ext>
          </a:extLst>
        </xdr:cNvPr>
        <xdr:cNvSpPr txBox="1"/>
      </xdr:nvSpPr>
      <xdr:spPr>
        <a:xfrm>
          <a:off x="5275157" y="635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150" name="CaixaDeTexto 1149">
          <a:extLst>
            <a:ext uri="{FF2B5EF4-FFF2-40B4-BE49-F238E27FC236}">
              <a16:creationId xmlns:a16="http://schemas.microsoft.com/office/drawing/2014/main" id="{9A8413DD-8A88-44A4-BB68-A8B290791235}"/>
            </a:ext>
          </a:extLst>
        </xdr:cNvPr>
        <xdr:cNvSpPr txBox="1"/>
      </xdr:nvSpPr>
      <xdr:spPr>
        <a:xfrm>
          <a:off x="5275157" y="635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151" name="CaixaDeTexto 1150">
          <a:extLst>
            <a:ext uri="{FF2B5EF4-FFF2-40B4-BE49-F238E27FC236}">
              <a16:creationId xmlns:a16="http://schemas.microsoft.com/office/drawing/2014/main" id="{C6B80FCD-9BB0-4E40-A862-90FA14756E2A}"/>
            </a:ext>
          </a:extLst>
        </xdr:cNvPr>
        <xdr:cNvSpPr txBox="1"/>
      </xdr:nvSpPr>
      <xdr:spPr>
        <a:xfrm>
          <a:off x="5275157" y="635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152" name="CaixaDeTexto 1151">
          <a:extLst>
            <a:ext uri="{FF2B5EF4-FFF2-40B4-BE49-F238E27FC236}">
              <a16:creationId xmlns:a16="http://schemas.microsoft.com/office/drawing/2014/main" id="{76ECC45A-4B1F-4F59-B7CC-9FE3FB02B0DB}"/>
            </a:ext>
          </a:extLst>
        </xdr:cNvPr>
        <xdr:cNvSpPr txBox="1"/>
      </xdr:nvSpPr>
      <xdr:spPr>
        <a:xfrm>
          <a:off x="5275157" y="635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317</xdr:row>
      <xdr:rowOff>0</xdr:rowOff>
    </xdr:from>
    <xdr:ext cx="184731" cy="264560"/>
    <xdr:sp macro="" textlink="">
      <xdr:nvSpPr>
        <xdr:cNvPr id="1153" name="CaixaDeTexto 1152">
          <a:extLst>
            <a:ext uri="{FF2B5EF4-FFF2-40B4-BE49-F238E27FC236}">
              <a16:creationId xmlns:a16="http://schemas.microsoft.com/office/drawing/2014/main" id="{AF7FBAF0-8EDD-422C-B968-FF4FF6DF72EF}"/>
            </a:ext>
          </a:extLst>
        </xdr:cNvPr>
        <xdr:cNvSpPr txBox="1"/>
      </xdr:nvSpPr>
      <xdr:spPr>
        <a:xfrm>
          <a:off x="5275157" y="635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66" name="CaixaDeTexto 1165">
          <a:extLst>
            <a:ext uri="{FF2B5EF4-FFF2-40B4-BE49-F238E27FC236}">
              <a16:creationId xmlns:a16="http://schemas.microsoft.com/office/drawing/2014/main" id="{75CA29AA-3ECE-404B-8D22-5EE85E62A48C}"/>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67" name="CaixaDeTexto 1166">
          <a:extLst>
            <a:ext uri="{FF2B5EF4-FFF2-40B4-BE49-F238E27FC236}">
              <a16:creationId xmlns:a16="http://schemas.microsoft.com/office/drawing/2014/main" id="{993C0639-7AF9-4283-828F-F94944C59CCD}"/>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68" name="CaixaDeTexto 1167">
          <a:extLst>
            <a:ext uri="{FF2B5EF4-FFF2-40B4-BE49-F238E27FC236}">
              <a16:creationId xmlns:a16="http://schemas.microsoft.com/office/drawing/2014/main" id="{4713CD47-A0CC-48EB-86F8-CD165E903EBA}"/>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69" name="CaixaDeTexto 1168">
          <a:extLst>
            <a:ext uri="{FF2B5EF4-FFF2-40B4-BE49-F238E27FC236}">
              <a16:creationId xmlns:a16="http://schemas.microsoft.com/office/drawing/2014/main" id="{9BC474E3-D448-44D8-9379-8EA5947E5A71}"/>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0" name="CaixaDeTexto 1169">
          <a:extLst>
            <a:ext uri="{FF2B5EF4-FFF2-40B4-BE49-F238E27FC236}">
              <a16:creationId xmlns:a16="http://schemas.microsoft.com/office/drawing/2014/main" id="{FAEEEC3D-57C8-4771-B714-F9AAC793DA2F}"/>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1" name="CaixaDeTexto 1170">
          <a:extLst>
            <a:ext uri="{FF2B5EF4-FFF2-40B4-BE49-F238E27FC236}">
              <a16:creationId xmlns:a16="http://schemas.microsoft.com/office/drawing/2014/main" id="{BA29FA09-D892-45C7-804A-2DE4137060B2}"/>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2" name="CaixaDeTexto 1171">
          <a:extLst>
            <a:ext uri="{FF2B5EF4-FFF2-40B4-BE49-F238E27FC236}">
              <a16:creationId xmlns:a16="http://schemas.microsoft.com/office/drawing/2014/main" id="{41CFF48A-64B1-4958-AED7-C5A283FC9B33}"/>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3" name="CaixaDeTexto 1172">
          <a:extLst>
            <a:ext uri="{FF2B5EF4-FFF2-40B4-BE49-F238E27FC236}">
              <a16:creationId xmlns:a16="http://schemas.microsoft.com/office/drawing/2014/main" id="{5D181FC3-088A-4F3D-8F51-39D6B68135DC}"/>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4" name="CaixaDeTexto 1173">
          <a:extLst>
            <a:ext uri="{FF2B5EF4-FFF2-40B4-BE49-F238E27FC236}">
              <a16:creationId xmlns:a16="http://schemas.microsoft.com/office/drawing/2014/main" id="{FDF043CC-EC45-488F-94D4-54DA8FF4CA88}"/>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5" name="CaixaDeTexto 1174">
          <a:extLst>
            <a:ext uri="{FF2B5EF4-FFF2-40B4-BE49-F238E27FC236}">
              <a16:creationId xmlns:a16="http://schemas.microsoft.com/office/drawing/2014/main" id="{6B025D32-34BE-4D19-9448-D41E3DA943E6}"/>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6" name="CaixaDeTexto 1175">
          <a:extLst>
            <a:ext uri="{FF2B5EF4-FFF2-40B4-BE49-F238E27FC236}">
              <a16:creationId xmlns:a16="http://schemas.microsoft.com/office/drawing/2014/main" id="{9EF5E949-DC77-4446-8A99-75AA45183747}"/>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77" name="CaixaDeTexto 1176">
          <a:extLst>
            <a:ext uri="{FF2B5EF4-FFF2-40B4-BE49-F238E27FC236}">
              <a16:creationId xmlns:a16="http://schemas.microsoft.com/office/drawing/2014/main" id="{403D9842-F933-43C8-BD7E-966730837F20}"/>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78" name="CaixaDeTexto 1177">
          <a:extLst>
            <a:ext uri="{FF2B5EF4-FFF2-40B4-BE49-F238E27FC236}">
              <a16:creationId xmlns:a16="http://schemas.microsoft.com/office/drawing/2014/main" id="{D53B6832-7A9B-4B16-B420-A73D2BDE6DC0}"/>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79" name="CaixaDeTexto 1178">
          <a:extLst>
            <a:ext uri="{FF2B5EF4-FFF2-40B4-BE49-F238E27FC236}">
              <a16:creationId xmlns:a16="http://schemas.microsoft.com/office/drawing/2014/main" id="{3E2C521B-27B9-4141-BF7E-FC99A8997D74}"/>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80" name="CaixaDeTexto 1179">
          <a:extLst>
            <a:ext uri="{FF2B5EF4-FFF2-40B4-BE49-F238E27FC236}">
              <a16:creationId xmlns:a16="http://schemas.microsoft.com/office/drawing/2014/main" id="{57AC3509-634D-4853-8537-363522A34AC3}"/>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81" name="CaixaDeTexto 1180">
          <a:extLst>
            <a:ext uri="{FF2B5EF4-FFF2-40B4-BE49-F238E27FC236}">
              <a16:creationId xmlns:a16="http://schemas.microsoft.com/office/drawing/2014/main" id="{91E0799E-CFEA-40B4-B5F7-9ADE81D2FF74}"/>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82" name="CaixaDeTexto 1181">
          <a:extLst>
            <a:ext uri="{FF2B5EF4-FFF2-40B4-BE49-F238E27FC236}">
              <a16:creationId xmlns:a16="http://schemas.microsoft.com/office/drawing/2014/main" id="{BD401197-DEA3-4BC9-9B70-1238D493E82B}"/>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83" name="CaixaDeTexto 1182">
          <a:extLst>
            <a:ext uri="{FF2B5EF4-FFF2-40B4-BE49-F238E27FC236}">
              <a16:creationId xmlns:a16="http://schemas.microsoft.com/office/drawing/2014/main" id="{25625D27-7C70-41C0-B869-81D533164780}"/>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84" name="CaixaDeTexto 1183">
          <a:extLst>
            <a:ext uri="{FF2B5EF4-FFF2-40B4-BE49-F238E27FC236}">
              <a16:creationId xmlns:a16="http://schemas.microsoft.com/office/drawing/2014/main" id="{B6B0894F-B47A-418C-A5D7-3F443F8F9BB4}"/>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85" name="CaixaDeTexto 1184">
          <a:extLst>
            <a:ext uri="{FF2B5EF4-FFF2-40B4-BE49-F238E27FC236}">
              <a16:creationId xmlns:a16="http://schemas.microsoft.com/office/drawing/2014/main" id="{85BB8871-2C4A-45EF-92F5-BD36914E048B}"/>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86" name="CaixaDeTexto 1185">
          <a:extLst>
            <a:ext uri="{FF2B5EF4-FFF2-40B4-BE49-F238E27FC236}">
              <a16:creationId xmlns:a16="http://schemas.microsoft.com/office/drawing/2014/main" id="{4922CA2A-4126-4C0A-94FE-4E1D191A5B74}"/>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87" name="CaixaDeTexto 1186">
          <a:extLst>
            <a:ext uri="{FF2B5EF4-FFF2-40B4-BE49-F238E27FC236}">
              <a16:creationId xmlns:a16="http://schemas.microsoft.com/office/drawing/2014/main" id="{96706D5C-8EAB-400B-8A01-9D0BF5AAC6C3}"/>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88" name="CaixaDeTexto 1187">
          <a:extLst>
            <a:ext uri="{FF2B5EF4-FFF2-40B4-BE49-F238E27FC236}">
              <a16:creationId xmlns:a16="http://schemas.microsoft.com/office/drawing/2014/main" id="{F0FE04D0-421A-483E-B085-C715DDEA8D2C}"/>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89" name="CaixaDeTexto 1188">
          <a:extLst>
            <a:ext uri="{FF2B5EF4-FFF2-40B4-BE49-F238E27FC236}">
              <a16:creationId xmlns:a16="http://schemas.microsoft.com/office/drawing/2014/main" id="{0E16CC51-B69E-4EC9-B105-E7EE48487090}"/>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90" name="CaixaDeTexto 1189">
          <a:extLst>
            <a:ext uri="{FF2B5EF4-FFF2-40B4-BE49-F238E27FC236}">
              <a16:creationId xmlns:a16="http://schemas.microsoft.com/office/drawing/2014/main" id="{949DF561-28CD-496A-9716-348F23D058D8}"/>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91" name="CaixaDeTexto 1190">
          <a:extLst>
            <a:ext uri="{FF2B5EF4-FFF2-40B4-BE49-F238E27FC236}">
              <a16:creationId xmlns:a16="http://schemas.microsoft.com/office/drawing/2014/main" id="{33E7AD8C-EC50-41A7-BB0A-EAFE6CE4FA11}"/>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92" name="CaixaDeTexto 1191">
          <a:extLst>
            <a:ext uri="{FF2B5EF4-FFF2-40B4-BE49-F238E27FC236}">
              <a16:creationId xmlns:a16="http://schemas.microsoft.com/office/drawing/2014/main" id="{BC8A4B22-6434-457C-9C8A-009C9710023A}"/>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93" name="CaixaDeTexto 1192">
          <a:extLst>
            <a:ext uri="{FF2B5EF4-FFF2-40B4-BE49-F238E27FC236}">
              <a16:creationId xmlns:a16="http://schemas.microsoft.com/office/drawing/2014/main" id="{579DE30C-306D-4A0B-A121-96F3DC30C759}"/>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94" name="CaixaDeTexto 1193">
          <a:extLst>
            <a:ext uri="{FF2B5EF4-FFF2-40B4-BE49-F238E27FC236}">
              <a16:creationId xmlns:a16="http://schemas.microsoft.com/office/drawing/2014/main" id="{8C5A1C1D-B68B-442C-B9DC-C5EFAE6BBE11}"/>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95" name="CaixaDeTexto 1194">
          <a:extLst>
            <a:ext uri="{FF2B5EF4-FFF2-40B4-BE49-F238E27FC236}">
              <a16:creationId xmlns:a16="http://schemas.microsoft.com/office/drawing/2014/main" id="{1C59138D-5066-4571-99D8-6BFBAD3A87B4}"/>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96" name="CaixaDeTexto 1195">
          <a:extLst>
            <a:ext uri="{FF2B5EF4-FFF2-40B4-BE49-F238E27FC236}">
              <a16:creationId xmlns:a16="http://schemas.microsoft.com/office/drawing/2014/main" id="{80F1AA3A-9D79-4E6F-8579-B689C73EB945}"/>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97" name="CaixaDeTexto 1196">
          <a:extLst>
            <a:ext uri="{FF2B5EF4-FFF2-40B4-BE49-F238E27FC236}">
              <a16:creationId xmlns:a16="http://schemas.microsoft.com/office/drawing/2014/main" id="{A67EA6D6-1A06-4040-85C2-4D72A77E8C88}"/>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198" name="CaixaDeTexto 1197">
          <a:extLst>
            <a:ext uri="{FF2B5EF4-FFF2-40B4-BE49-F238E27FC236}">
              <a16:creationId xmlns:a16="http://schemas.microsoft.com/office/drawing/2014/main" id="{4EF7DA44-149F-44F2-9301-BAF511370F2F}"/>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199" name="CaixaDeTexto 1198">
          <a:extLst>
            <a:ext uri="{FF2B5EF4-FFF2-40B4-BE49-F238E27FC236}">
              <a16:creationId xmlns:a16="http://schemas.microsoft.com/office/drawing/2014/main" id="{63637C02-B88D-4BA8-A3B7-D91EF740D59E}"/>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00" name="CaixaDeTexto 1199">
          <a:extLst>
            <a:ext uri="{FF2B5EF4-FFF2-40B4-BE49-F238E27FC236}">
              <a16:creationId xmlns:a16="http://schemas.microsoft.com/office/drawing/2014/main" id="{44B33726-CA2A-459C-A6B5-1224BA55D3B7}"/>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01" name="CaixaDeTexto 1200">
          <a:extLst>
            <a:ext uri="{FF2B5EF4-FFF2-40B4-BE49-F238E27FC236}">
              <a16:creationId xmlns:a16="http://schemas.microsoft.com/office/drawing/2014/main" id="{AFF741B6-B91F-44B1-9FD9-A387FA3C4CB8}"/>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02" name="CaixaDeTexto 1201">
          <a:extLst>
            <a:ext uri="{FF2B5EF4-FFF2-40B4-BE49-F238E27FC236}">
              <a16:creationId xmlns:a16="http://schemas.microsoft.com/office/drawing/2014/main" id="{34F032DE-DCA0-424F-8E8F-D4D159FA8C1F}"/>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03" name="CaixaDeTexto 1202">
          <a:extLst>
            <a:ext uri="{FF2B5EF4-FFF2-40B4-BE49-F238E27FC236}">
              <a16:creationId xmlns:a16="http://schemas.microsoft.com/office/drawing/2014/main" id="{3B2C8A0B-7B21-4115-A601-2EAD3AE9D9FF}"/>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332</xdr:row>
      <xdr:rowOff>0</xdr:rowOff>
    </xdr:from>
    <xdr:ext cx="184731" cy="264560"/>
    <xdr:sp macro="" textlink="">
      <xdr:nvSpPr>
        <xdr:cNvPr id="1204" name="CaixaDeTexto 1203">
          <a:extLst>
            <a:ext uri="{FF2B5EF4-FFF2-40B4-BE49-F238E27FC236}">
              <a16:creationId xmlns:a16="http://schemas.microsoft.com/office/drawing/2014/main" id="{48547EF8-E733-46E0-A2E4-EFFF250FE7E2}"/>
            </a:ext>
          </a:extLst>
        </xdr:cNvPr>
        <xdr:cNvSpPr txBox="1"/>
      </xdr:nvSpPr>
      <xdr:spPr>
        <a:xfrm>
          <a:off x="5275157" y="6658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05" name="CaixaDeTexto 1204">
          <a:extLst>
            <a:ext uri="{FF2B5EF4-FFF2-40B4-BE49-F238E27FC236}">
              <a16:creationId xmlns:a16="http://schemas.microsoft.com/office/drawing/2014/main" id="{74F91935-1D85-4390-AF0B-0B34D877EA3B}"/>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06" name="CaixaDeTexto 1205">
          <a:extLst>
            <a:ext uri="{FF2B5EF4-FFF2-40B4-BE49-F238E27FC236}">
              <a16:creationId xmlns:a16="http://schemas.microsoft.com/office/drawing/2014/main" id="{3D2EDE04-4816-426A-944F-99E533AE9E5D}"/>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07" name="CaixaDeTexto 1206">
          <a:extLst>
            <a:ext uri="{FF2B5EF4-FFF2-40B4-BE49-F238E27FC236}">
              <a16:creationId xmlns:a16="http://schemas.microsoft.com/office/drawing/2014/main" id="{CF186D2F-E4EC-4EFB-B6AE-22A2AE725B7A}"/>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08" name="CaixaDeTexto 1207">
          <a:extLst>
            <a:ext uri="{FF2B5EF4-FFF2-40B4-BE49-F238E27FC236}">
              <a16:creationId xmlns:a16="http://schemas.microsoft.com/office/drawing/2014/main" id="{4AA3483E-FECA-4A59-B5ED-2B5B2E8356C9}"/>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09" name="CaixaDeTexto 1208">
          <a:extLst>
            <a:ext uri="{FF2B5EF4-FFF2-40B4-BE49-F238E27FC236}">
              <a16:creationId xmlns:a16="http://schemas.microsoft.com/office/drawing/2014/main" id="{AD20DC3B-F978-4A12-960F-48AC2E160BE6}"/>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10" name="CaixaDeTexto 1209">
          <a:extLst>
            <a:ext uri="{FF2B5EF4-FFF2-40B4-BE49-F238E27FC236}">
              <a16:creationId xmlns:a16="http://schemas.microsoft.com/office/drawing/2014/main" id="{E48CEF48-933B-4D4D-8904-3589C15D3AE7}"/>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1" name="CaixaDeTexto 1210">
          <a:extLst>
            <a:ext uri="{FF2B5EF4-FFF2-40B4-BE49-F238E27FC236}">
              <a16:creationId xmlns:a16="http://schemas.microsoft.com/office/drawing/2014/main" id="{01581A73-A0A8-44BA-914E-E61909E25F48}"/>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2" name="CaixaDeTexto 1211">
          <a:extLst>
            <a:ext uri="{FF2B5EF4-FFF2-40B4-BE49-F238E27FC236}">
              <a16:creationId xmlns:a16="http://schemas.microsoft.com/office/drawing/2014/main" id="{DCF21F15-8936-4830-ADA5-9448642FC7F1}"/>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3" name="CaixaDeTexto 1212">
          <a:extLst>
            <a:ext uri="{FF2B5EF4-FFF2-40B4-BE49-F238E27FC236}">
              <a16:creationId xmlns:a16="http://schemas.microsoft.com/office/drawing/2014/main" id="{217FB5AA-1738-4345-9B80-AAFBA9113E6C}"/>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4" name="CaixaDeTexto 1213">
          <a:extLst>
            <a:ext uri="{FF2B5EF4-FFF2-40B4-BE49-F238E27FC236}">
              <a16:creationId xmlns:a16="http://schemas.microsoft.com/office/drawing/2014/main" id="{7438B929-4B57-4264-83C5-735FA6E0894A}"/>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5" name="CaixaDeTexto 1214">
          <a:extLst>
            <a:ext uri="{FF2B5EF4-FFF2-40B4-BE49-F238E27FC236}">
              <a16:creationId xmlns:a16="http://schemas.microsoft.com/office/drawing/2014/main" id="{D6F48D6F-1421-4EA3-9528-6B274507EAE6}"/>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6" name="CaixaDeTexto 1215">
          <a:extLst>
            <a:ext uri="{FF2B5EF4-FFF2-40B4-BE49-F238E27FC236}">
              <a16:creationId xmlns:a16="http://schemas.microsoft.com/office/drawing/2014/main" id="{B2B6428A-C31F-478A-A3F8-6FA6C7E6EB72}"/>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7" name="CaixaDeTexto 1216">
          <a:extLst>
            <a:ext uri="{FF2B5EF4-FFF2-40B4-BE49-F238E27FC236}">
              <a16:creationId xmlns:a16="http://schemas.microsoft.com/office/drawing/2014/main" id="{89DAD11A-B92D-4D40-B5D5-9FC491713C1B}"/>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8" name="CaixaDeTexto 1217">
          <a:extLst>
            <a:ext uri="{FF2B5EF4-FFF2-40B4-BE49-F238E27FC236}">
              <a16:creationId xmlns:a16="http://schemas.microsoft.com/office/drawing/2014/main" id="{D79E64EB-A1EA-420D-B6DC-F1599F1ECB61}"/>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333</xdr:row>
      <xdr:rowOff>0</xdr:rowOff>
    </xdr:from>
    <xdr:ext cx="184731" cy="264560"/>
    <xdr:sp macro="" textlink="">
      <xdr:nvSpPr>
        <xdr:cNvPr id="1219" name="CaixaDeTexto 1218">
          <a:extLst>
            <a:ext uri="{FF2B5EF4-FFF2-40B4-BE49-F238E27FC236}">
              <a16:creationId xmlns:a16="http://schemas.microsoft.com/office/drawing/2014/main" id="{40E70CF6-35EF-4D85-893F-AB99244FF7C2}"/>
            </a:ext>
          </a:extLst>
        </xdr:cNvPr>
        <xdr:cNvSpPr txBox="1"/>
      </xdr:nvSpPr>
      <xdr:spPr>
        <a:xfrm>
          <a:off x="5275157" y="6678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20" name="CaixaDeTexto 1219">
          <a:extLst>
            <a:ext uri="{FF2B5EF4-FFF2-40B4-BE49-F238E27FC236}">
              <a16:creationId xmlns:a16="http://schemas.microsoft.com/office/drawing/2014/main" id="{0E8B2368-CE0B-4D1F-BCB0-1666D3457196}"/>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21" name="CaixaDeTexto 1220">
          <a:extLst>
            <a:ext uri="{FF2B5EF4-FFF2-40B4-BE49-F238E27FC236}">
              <a16:creationId xmlns:a16="http://schemas.microsoft.com/office/drawing/2014/main" id="{08E8BD6C-36F3-4649-9459-8DFDD78B33FA}"/>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22" name="CaixaDeTexto 1221">
          <a:extLst>
            <a:ext uri="{FF2B5EF4-FFF2-40B4-BE49-F238E27FC236}">
              <a16:creationId xmlns:a16="http://schemas.microsoft.com/office/drawing/2014/main" id="{CBB704CF-9553-4403-8402-0B09681EA9D8}"/>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23" name="CaixaDeTexto 1222">
          <a:extLst>
            <a:ext uri="{FF2B5EF4-FFF2-40B4-BE49-F238E27FC236}">
              <a16:creationId xmlns:a16="http://schemas.microsoft.com/office/drawing/2014/main" id="{44F3DB4D-C68A-4A13-AA1B-918AA01C8FE7}"/>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24" name="CaixaDeTexto 1223">
          <a:extLst>
            <a:ext uri="{FF2B5EF4-FFF2-40B4-BE49-F238E27FC236}">
              <a16:creationId xmlns:a16="http://schemas.microsoft.com/office/drawing/2014/main" id="{31AE8A1A-24AD-47E9-ABEB-B828AC4F1A04}"/>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334</xdr:row>
      <xdr:rowOff>0</xdr:rowOff>
    </xdr:from>
    <xdr:ext cx="184731" cy="264560"/>
    <xdr:sp macro="" textlink="">
      <xdr:nvSpPr>
        <xdr:cNvPr id="1225" name="CaixaDeTexto 1224">
          <a:extLst>
            <a:ext uri="{FF2B5EF4-FFF2-40B4-BE49-F238E27FC236}">
              <a16:creationId xmlns:a16="http://schemas.microsoft.com/office/drawing/2014/main" id="{8EC709A9-6B87-47C5-B6F2-B5F2306B34CF}"/>
            </a:ext>
          </a:extLst>
        </xdr:cNvPr>
        <xdr:cNvSpPr txBox="1"/>
      </xdr:nvSpPr>
      <xdr:spPr>
        <a:xfrm>
          <a:off x="5275157" y="669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26" name="CaixaDeTexto 1225">
          <a:extLst>
            <a:ext uri="{FF2B5EF4-FFF2-40B4-BE49-F238E27FC236}">
              <a16:creationId xmlns:a16="http://schemas.microsoft.com/office/drawing/2014/main" id="{BF7F99D2-A77B-4A42-A70D-A4CBEFCCE988}"/>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27" name="CaixaDeTexto 1226">
          <a:extLst>
            <a:ext uri="{FF2B5EF4-FFF2-40B4-BE49-F238E27FC236}">
              <a16:creationId xmlns:a16="http://schemas.microsoft.com/office/drawing/2014/main" id="{E27A75AA-916A-41A0-9387-EEA07E301308}"/>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28" name="CaixaDeTexto 1227">
          <a:extLst>
            <a:ext uri="{FF2B5EF4-FFF2-40B4-BE49-F238E27FC236}">
              <a16:creationId xmlns:a16="http://schemas.microsoft.com/office/drawing/2014/main" id="{A1759BE7-3ED6-484B-BF5F-C62AAFF284DE}"/>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29" name="CaixaDeTexto 1228">
          <a:extLst>
            <a:ext uri="{FF2B5EF4-FFF2-40B4-BE49-F238E27FC236}">
              <a16:creationId xmlns:a16="http://schemas.microsoft.com/office/drawing/2014/main" id="{867DDC24-BE19-477F-92BE-9644694C1CA1}"/>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0" name="CaixaDeTexto 1229">
          <a:extLst>
            <a:ext uri="{FF2B5EF4-FFF2-40B4-BE49-F238E27FC236}">
              <a16:creationId xmlns:a16="http://schemas.microsoft.com/office/drawing/2014/main" id="{FB111AC9-519E-4083-9B88-3783AAB4F992}"/>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1" name="CaixaDeTexto 1230">
          <a:extLst>
            <a:ext uri="{FF2B5EF4-FFF2-40B4-BE49-F238E27FC236}">
              <a16:creationId xmlns:a16="http://schemas.microsoft.com/office/drawing/2014/main" id="{573C9A7D-3564-46EA-AE75-A18EEF0E99ED}"/>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2" name="CaixaDeTexto 1231">
          <a:extLst>
            <a:ext uri="{FF2B5EF4-FFF2-40B4-BE49-F238E27FC236}">
              <a16:creationId xmlns:a16="http://schemas.microsoft.com/office/drawing/2014/main" id="{F26189A0-E6BE-40E8-AF0B-ECA45F705DB9}"/>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3" name="CaixaDeTexto 1232">
          <a:extLst>
            <a:ext uri="{FF2B5EF4-FFF2-40B4-BE49-F238E27FC236}">
              <a16:creationId xmlns:a16="http://schemas.microsoft.com/office/drawing/2014/main" id="{674491AA-DA6E-4163-BCC8-486A93C053D1}"/>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4" name="CaixaDeTexto 1233">
          <a:extLst>
            <a:ext uri="{FF2B5EF4-FFF2-40B4-BE49-F238E27FC236}">
              <a16:creationId xmlns:a16="http://schemas.microsoft.com/office/drawing/2014/main" id="{DFC6BD5A-15FE-40EC-9805-169D7D79E8E0}"/>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5" name="CaixaDeTexto 1234">
          <a:extLst>
            <a:ext uri="{FF2B5EF4-FFF2-40B4-BE49-F238E27FC236}">
              <a16:creationId xmlns:a16="http://schemas.microsoft.com/office/drawing/2014/main" id="{A6FBD521-3985-48DD-B3D3-8D46D4F81B89}"/>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6" name="CaixaDeTexto 1235">
          <a:extLst>
            <a:ext uri="{FF2B5EF4-FFF2-40B4-BE49-F238E27FC236}">
              <a16:creationId xmlns:a16="http://schemas.microsoft.com/office/drawing/2014/main" id="{1D2DFAD8-3A4D-4DCF-ACE2-C0CFBC99F838}"/>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7" name="CaixaDeTexto 1236">
          <a:extLst>
            <a:ext uri="{FF2B5EF4-FFF2-40B4-BE49-F238E27FC236}">
              <a16:creationId xmlns:a16="http://schemas.microsoft.com/office/drawing/2014/main" id="{5E8DE93C-2950-445E-853C-D6119F4069BE}"/>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8" name="CaixaDeTexto 1237">
          <a:extLst>
            <a:ext uri="{FF2B5EF4-FFF2-40B4-BE49-F238E27FC236}">
              <a16:creationId xmlns:a16="http://schemas.microsoft.com/office/drawing/2014/main" id="{11582B27-1BB8-456E-9FFD-345013183218}"/>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39" name="CaixaDeTexto 1238">
          <a:extLst>
            <a:ext uri="{FF2B5EF4-FFF2-40B4-BE49-F238E27FC236}">
              <a16:creationId xmlns:a16="http://schemas.microsoft.com/office/drawing/2014/main" id="{D9538957-AB7B-4976-91BE-B357FDA0884D}"/>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40" name="CaixaDeTexto 1239">
          <a:extLst>
            <a:ext uri="{FF2B5EF4-FFF2-40B4-BE49-F238E27FC236}">
              <a16:creationId xmlns:a16="http://schemas.microsoft.com/office/drawing/2014/main" id="{8D310A64-F027-4BF8-AAAD-C85022F33F2A}"/>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41" name="CaixaDeTexto 1240">
          <a:extLst>
            <a:ext uri="{FF2B5EF4-FFF2-40B4-BE49-F238E27FC236}">
              <a16:creationId xmlns:a16="http://schemas.microsoft.com/office/drawing/2014/main" id="{3BA3A9F3-4E89-4581-9171-4255190949F2}"/>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42" name="CaixaDeTexto 1241">
          <a:extLst>
            <a:ext uri="{FF2B5EF4-FFF2-40B4-BE49-F238E27FC236}">
              <a16:creationId xmlns:a16="http://schemas.microsoft.com/office/drawing/2014/main" id="{FEB2ADB9-787B-4DEF-944E-A02D96773FDD}"/>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43" name="CaixaDeTexto 1242">
          <a:extLst>
            <a:ext uri="{FF2B5EF4-FFF2-40B4-BE49-F238E27FC236}">
              <a16:creationId xmlns:a16="http://schemas.microsoft.com/office/drawing/2014/main" id="{A45E534E-C49F-44B8-A68D-C1437EF6C120}"/>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44" name="CaixaDeTexto 1243">
          <a:extLst>
            <a:ext uri="{FF2B5EF4-FFF2-40B4-BE49-F238E27FC236}">
              <a16:creationId xmlns:a16="http://schemas.microsoft.com/office/drawing/2014/main" id="{ABC32BE0-0962-4B39-8AC8-FE291FEE982E}"/>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45" name="CaixaDeTexto 1244">
          <a:extLst>
            <a:ext uri="{FF2B5EF4-FFF2-40B4-BE49-F238E27FC236}">
              <a16:creationId xmlns:a16="http://schemas.microsoft.com/office/drawing/2014/main" id="{6D10E7C1-90E2-459F-BCF8-DD7DA82023BC}"/>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46" name="CaixaDeTexto 1245">
          <a:extLst>
            <a:ext uri="{FF2B5EF4-FFF2-40B4-BE49-F238E27FC236}">
              <a16:creationId xmlns:a16="http://schemas.microsoft.com/office/drawing/2014/main" id="{377E5182-65C2-4747-9738-1DFA495A91DF}"/>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47" name="CaixaDeTexto 1246">
          <a:extLst>
            <a:ext uri="{FF2B5EF4-FFF2-40B4-BE49-F238E27FC236}">
              <a16:creationId xmlns:a16="http://schemas.microsoft.com/office/drawing/2014/main" id="{D657B9B0-F284-413C-AD0F-66858D1371F1}"/>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48" name="CaixaDeTexto 1247">
          <a:extLst>
            <a:ext uri="{FF2B5EF4-FFF2-40B4-BE49-F238E27FC236}">
              <a16:creationId xmlns:a16="http://schemas.microsoft.com/office/drawing/2014/main" id="{1057373E-FE9D-4684-B665-7C9ADE3B9E39}"/>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49" name="CaixaDeTexto 1248">
          <a:extLst>
            <a:ext uri="{FF2B5EF4-FFF2-40B4-BE49-F238E27FC236}">
              <a16:creationId xmlns:a16="http://schemas.microsoft.com/office/drawing/2014/main" id="{9083FC7A-4D26-4398-A7E2-4E8ED458D077}"/>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50" name="CaixaDeTexto 1249">
          <a:extLst>
            <a:ext uri="{FF2B5EF4-FFF2-40B4-BE49-F238E27FC236}">
              <a16:creationId xmlns:a16="http://schemas.microsoft.com/office/drawing/2014/main" id="{D02967A7-3A06-4F6D-9649-54983D16D1E1}"/>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51" name="CaixaDeTexto 1250">
          <a:extLst>
            <a:ext uri="{FF2B5EF4-FFF2-40B4-BE49-F238E27FC236}">
              <a16:creationId xmlns:a16="http://schemas.microsoft.com/office/drawing/2014/main" id="{1BB1FF4D-336F-4B83-986A-0D91648A805B}"/>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52" name="CaixaDeTexto 1251">
          <a:extLst>
            <a:ext uri="{FF2B5EF4-FFF2-40B4-BE49-F238E27FC236}">
              <a16:creationId xmlns:a16="http://schemas.microsoft.com/office/drawing/2014/main" id="{8A38DD00-7A99-4169-945C-895F2985E41B}"/>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53" name="CaixaDeTexto 1252">
          <a:extLst>
            <a:ext uri="{FF2B5EF4-FFF2-40B4-BE49-F238E27FC236}">
              <a16:creationId xmlns:a16="http://schemas.microsoft.com/office/drawing/2014/main" id="{EA4AFA80-7D33-4605-8A4C-983D2BE85185}"/>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54" name="CaixaDeTexto 1253">
          <a:extLst>
            <a:ext uri="{FF2B5EF4-FFF2-40B4-BE49-F238E27FC236}">
              <a16:creationId xmlns:a16="http://schemas.microsoft.com/office/drawing/2014/main" id="{33C748B2-B08D-465E-820A-8761DB9BBB27}"/>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55" name="CaixaDeTexto 1254">
          <a:extLst>
            <a:ext uri="{FF2B5EF4-FFF2-40B4-BE49-F238E27FC236}">
              <a16:creationId xmlns:a16="http://schemas.microsoft.com/office/drawing/2014/main" id="{7C0621E7-58BB-4929-86C4-29B4D1AEB4B6}"/>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56" name="CaixaDeTexto 1255">
          <a:extLst>
            <a:ext uri="{FF2B5EF4-FFF2-40B4-BE49-F238E27FC236}">
              <a16:creationId xmlns:a16="http://schemas.microsoft.com/office/drawing/2014/main" id="{118F21BD-4702-4F1B-9558-1E9FAF087485}"/>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57" name="CaixaDeTexto 1256">
          <a:extLst>
            <a:ext uri="{FF2B5EF4-FFF2-40B4-BE49-F238E27FC236}">
              <a16:creationId xmlns:a16="http://schemas.microsoft.com/office/drawing/2014/main" id="{D4860A84-FD12-494E-960A-12014CE5BCEE}"/>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58" name="CaixaDeTexto 1257">
          <a:extLst>
            <a:ext uri="{FF2B5EF4-FFF2-40B4-BE49-F238E27FC236}">
              <a16:creationId xmlns:a16="http://schemas.microsoft.com/office/drawing/2014/main" id="{2F8B11F4-56D7-436E-BEAB-5155713361BA}"/>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59" name="CaixaDeTexto 1258">
          <a:extLst>
            <a:ext uri="{FF2B5EF4-FFF2-40B4-BE49-F238E27FC236}">
              <a16:creationId xmlns:a16="http://schemas.microsoft.com/office/drawing/2014/main" id="{8615D0D3-FCD4-4242-A82B-D593E0154CFB}"/>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60" name="CaixaDeTexto 1259">
          <a:extLst>
            <a:ext uri="{FF2B5EF4-FFF2-40B4-BE49-F238E27FC236}">
              <a16:creationId xmlns:a16="http://schemas.microsoft.com/office/drawing/2014/main" id="{8E57921E-F458-4CDD-B411-524006130285}"/>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1261" name="CaixaDeTexto 1260">
          <a:extLst>
            <a:ext uri="{FF2B5EF4-FFF2-40B4-BE49-F238E27FC236}">
              <a16:creationId xmlns:a16="http://schemas.microsoft.com/office/drawing/2014/main" id="{0F6000EE-CEBB-404B-90EC-E667F0932467}"/>
            </a:ext>
          </a:extLst>
        </xdr:cNvPr>
        <xdr:cNvSpPr txBox="1"/>
      </xdr:nvSpPr>
      <xdr:spPr>
        <a:xfrm>
          <a:off x="5275157" y="781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62" name="CaixaDeTexto 1261">
          <a:extLst>
            <a:ext uri="{FF2B5EF4-FFF2-40B4-BE49-F238E27FC236}">
              <a16:creationId xmlns:a16="http://schemas.microsoft.com/office/drawing/2014/main" id="{A809C7B2-CC26-4014-BACB-3DA66F6ABAAE}"/>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63" name="CaixaDeTexto 1262">
          <a:extLst>
            <a:ext uri="{FF2B5EF4-FFF2-40B4-BE49-F238E27FC236}">
              <a16:creationId xmlns:a16="http://schemas.microsoft.com/office/drawing/2014/main" id="{5DB84242-FC40-4754-912B-A6FBC8D99F24}"/>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64" name="CaixaDeTexto 1263">
          <a:extLst>
            <a:ext uri="{FF2B5EF4-FFF2-40B4-BE49-F238E27FC236}">
              <a16:creationId xmlns:a16="http://schemas.microsoft.com/office/drawing/2014/main" id="{8D4F4664-D0B3-4AAD-994C-B445ED94FA82}"/>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65" name="CaixaDeTexto 1264">
          <a:extLst>
            <a:ext uri="{FF2B5EF4-FFF2-40B4-BE49-F238E27FC236}">
              <a16:creationId xmlns:a16="http://schemas.microsoft.com/office/drawing/2014/main" id="{D8452B1D-66F2-4B25-B007-56C31D476836}"/>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66" name="CaixaDeTexto 1265">
          <a:extLst>
            <a:ext uri="{FF2B5EF4-FFF2-40B4-BE49-F238E27FC236}">
              <a16:creationId xmlns:a16="http://schemas.microsoft.com/office/drawing/2014/main" id="{DC647496-409E-457A-A956-BCCAB5B05E2B}"/>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389</xdr:row>
      <xdr:rowOff>0</xdr:rowOff>
    </xdr:from>
    <xdr:ext cx="184731" cy="264560"/>
    <xdr:sp macro="" textlink="">
      <xdr:nvSpPr>
        <xdr:cNvPr id="1267" name="CaixaDeTexto 1266">
          <a:extLst>
            <a:ext uri="{FF2B5EF4-FFF2-40B4-BE49-F238E27FC236}">
              <a16:creationId xmlns:a16="http://schemas.microsoft.com/office/drawing/2014/main" id="{AD76DAC9-8017-4817-B499-97288B1DF9DC}"/>
            </a:ext>
          </a:extLst>
        </xdr:cNvPr>
        <xdr:cNvSpPr txBox="1"/>
      </xdr:nvSpPr>
      <xdr:spPr>
        <a:xfrm>
          <a:off x="5275157" y="7799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68" name="CaixaDeTexto 1267">
          <a:extLst>
            <a:ext uri="{FF2B5EF4-FFF2-40B4-BE49-F238E27FC236}">
              <a16:creationId xmlns:a16="http://schemas.microsoft.com/office/drawing/2014/main" id="{5C7BAC26-18E5-4596-A981-676DFC82CC8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69" name="CaixaDeTexto 1268">
          <a:extLst>
            <a:ext uri="{FF2B5EF4-FFF2-40B4-BE49-F238E27FC236}">
              <a16:creationId xmlns:a16="http://schemas.microsoft.com/office/drawing/2014/main" id="{AFDDC491-2AD5-436A-995F-17F7E557FA0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0" name="CaixaDeTexto 1269">
          <a:extLst>
            <a:ext uri="{FF2B5EF4-FFF2-40B4-BE49-F238E27FC236}">
              <a16:creationId xmlns:a16="http://schemas.microsoft.com/office/drawing/2014/main" id="{D7C678D7-068C-422D-87D5-189908AA3CF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1" name="CaixaDeTexto 1270">
          <a:extLst>
            <a:ext uri="{FF2B5EF4-FFF2-40B4-BE49-F238E27FC236}">
              <a16:creationId xmlns:a16="http://schemas.microsoft.com/office/drawing/2014/main" id="{DE1FAA56-589D-4B7E-AF8B-DA5146CF137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2" name="CaixaDeTexto 1271">
          <a:extLst>
            <a:ext uri="{FF2B5EF4-FFF2-40B4-BE49-F238E27FC236}">
              <a16:creationId xmlns:a16="http://schemas.microsoft.com/office/drawing/2014/main" id="{3893EBA2-2317-43FF-B52D-D6747513723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3" name="CaixaDeTexto 1272">
          <a:extLst>
            <a:ext uri="{FF2B5EF4-FFF2-40B4-BE49-F238E27FC236}">
              <a16:creationId xmlns:a16="http://schemas.microsoft.com/office/drawing/2014/main" id="{9C3FD6E8-EB1C-4720-9F7F-6F0E4D49BD9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4" name="CaixaDeTexto 1273">
          <a:extLst>
            <a:ext uri="{FF2B5EF4-FFF2-40B4-BE49-F238E27FC236}">
              <a16:creationId xmlns:a16="http://schemas.microsoft.com/office/drawing/2014/main" id="{2E8D853D-2934-411B-BFBD-268DD75AC63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5" name="CaixaDeTexto 1274">
          <a:extLst>
            <a:ext uri="{FF2B5EF4-FFF2-40B4-BE49-F238E27FC236}">
              <a16:creationId xmlns:a16="http://schemas.microsoft.com/office/drawing/2014/main" id="{A4DA70D2-A0EC-4C1A-835C-9F816A2664B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6" name="CaixaDeTexto 1275">
          <a:extLst>
            <a:ext uri="{FF2B5EF4-FFF2-40B4-BE49-F238E27FC236}">
              <a16:creationId xmlns:a16="http://schemas.microsoft.com/office/drawing/2014/main" id="{015C0752-09BA-4C00-872F-DD9CDA2A1D0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7" name="CaixaDeTexto 1276">
          <a:extLst>
            <a:ext uri="{FF2B5EF4-FFF2-40B4-BE49-F238E27FC236}">
              <a16:creationId xmlns:a16="http://schemas.microsoft.com/office/drawing/2014/main" id="{81D39257-C87C-43D4-B9FD-508FCA5FA70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8" name="CaixaDeTexto 1277">
          <a:extLst>
            <a:ext uri="{FF2B5EF4-FFF2-40B4-BE49-F238E27FC236}">
              <a16:creationId xmlns:a16="http://schemas.microsoft.com/office/drawing/2014/main" id="{2B57C86A-98A5-4CD0-A020-2747B84967C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79" name="CaixaDeTexto 1278">
          <a:extLst>
            <a:ext uri="{FF2B5EF4-FFF2-40B4-BE49-F238E27FC236}">
              <a16:creationId xmlns:a16="http://schemas.microsoft.com/office/drawing/2014/main" id="{CA46EC4E-01C3-494F-99CB-94BE65322E1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0" name="CaixaDeTexto 1279">
          <a:extLst>
            <a:ext uri="{FF2B5EF4-FFF2-40B4-BE49-F238E27FC236}">
              <a16:creationId xmlns:a16="http://schemas.microsoft.com/office/drawing/2014/main" id="{A47C5761-E094-45E3-8742-1A5E4345C19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1" name="CaixaDeTexto 1280">
          <a:extLst>
            <a:ext uri="{FF2B5EF4-FFF2-40B4-BE49-F238E27FC236}">
              <a16:creationId xmlns:a16="http://schemas.microsoft.com/office/drawing/2014/main" id="{2BDFEAAD-B0EA-45A8-83FC-A67A46415F9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2" name="CaixaDeTexto 1281">
          <a:extLst>
            <a:ext uri="{FF2B5EF4-FFF2-40B4-BE49-F238E27FC236}">
              <a16:creationId xmlns:a16="http://schemas.microsoft.com/office/drawing/2014/main" id="{7588FE54-E25D-45FC-9327-4C64B5AE2BD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3" name="CaixaDeTexto 1282">
          <a:extLst>
            <a:ext uri="{FF2B5EF4-FFF2-40B4-BE49-F238E27FC236}">
              <a16:creationId xmlns:a16="http://schemas.microsoft.com/office/drawing/2014/main" id="{F6C85C92-B69B-4B7B-B5AF-F6DF07885F5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4" name="CaixaDeTexto 1283">
          <a:extLst>
            <a:ext uri="{FF2B5EF4-FFF2-40B4-BE49-F238E27FC236}">
              <a16:creationId xmlns:a16="http://schemas.microsoft.com/office/drawing/2014/main" id="{D000DA9B-C464-4A6F-9154-6057F1346D6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5" name="CaixaDeTexto 1284">
          <a:extLst>
            <a:ext uri="{FF2B5EF4-FFF2-40B4-BE49-F238E27FC236}">
              <a16:creationId xmlns:a16="http://schemas.microsoft.com/office/drawing/2014/main" id="{4F27EDE9-759F-43F6-81E1-74732B89393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6" name="CaixaDeTexto 1285">
          <a:extLst>
            <a:ext uri="{FF2B5EF4-FFF2-40B4-BE49-F238E27FC236}">
              <a16:creationId xmlns:a16="http://schemas.microsoft.com/office/drawing/2014/main" id="{CF531E74-0A4E-45DB-AFD2-3AC972987E0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7" name="CaixaDeTexto 1286">
          <a:extLst>
            <a:ext uri="{FF2B5EF4-FFF2-40B4-BE49-F238E27FC236}">
              <a16:creationId xmlns:a16="http://schemas.microsoft.com/office/drawing/2014/main" id="{D61023F9-0DE6-4124-B6BA-4E24F7F7EF4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8" name="CaixaDeTexto 1287">
          <a:extLst>
            <a:ext uri="{FF2B5EF4-FFF2-40B4-BE49-F238E27FC236}">
              <a16:creationId xmlns:a16="http://schemas.microsoft.com/office/drawing/2014/main" id="{1D86D756-752C-41AB-B9CC-17F393B7863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89" name="CaixaDeTexto 1288">
          <a:extLst>
            <a:ext uri="{FF2B5EF4-FFF2-40B4-BE49-F238E27FC236}">
              <a16:creationId xmlns:a16="http://schemas.microsoft.com/office/drawing/2014/main" id="{94E5E96B-B4BA-4DB3-960B-B588F193CDF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0" name="CaixaDeTexto 1289">
          <a:extLst>
            <a:ext uri="{FF2B5EF4-FFF2-40B4-BE49-F238E27FC236}">
              <a16:creationId xmlns:a16="http://schemas.microsoft.com/office/drawing/2014/main" id="{D54E6CA6-2CB9-4FA9-A55C-6208850874C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1" name="CaixaDeTexto 1290">
          <a:extLst>
            <a:ext uri="{FF2B5EF4-FFF2-40B4-BE49-F238E27FC236}">
              <a16:creationId xmlns:a16="http://schemas.microsoft.com/office/drawing/2014/main" id="{AEFEDD8B-EB68-43E9-A12C-98B5A901017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2" name="CaixaDeTexto 1291">
          <a:extLst>
            <a:ext uri="{FF2B5EF4-FFF2-40B4-BE49-F238E27FC236}">
              <a16:creationId xmlns:a16="http://schemas.microsoft.com/office/drawing/2014/main" id="{8EDA3AB1-946C-4429-A624-040FD9AD183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3" name="CaixaDeTexto 1292">
          <a:extLst>
            <a:ext uri="{FF2B5EF4-FFF2-40B4-BE49-F238E27FC236}">
              <a16:creationId xmlns:a16="http://schemas.microsoft.com/office/drawing/2014/main" id="{61C05416-C532-44DE-9AA9-83D2DEE2714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4" name="CaixaDeTexto 1293">
          <a:extLst>
            <a:ext uri="{FF2B5EF4-FFF2-40B4-BE49-F238E27FC236}">
              <a16:creationId xmlns:a16="http://schemas.microsoft.com/office/drawing/2014/main" id="{33BF5229-F89A-4221-8F11-D609A12E5B9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5" name="CaixaDeTexto 1294">
          <a:extLst>
            <a:ext uri="{FF2B5EF4-FFF2-40B4-BE49-F238E27FC236}">
              <a16:creationId xmlns:a16="http://schemas.microsoft.com/office/drawing/2014/main" id="{089AE602-A15E-4D68-A89F-B01B000992F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6" name="CaixaDeTexto 1295">
          <a:extLst>
            <a:ext uri="{FF2B5EF4-FFF2-40B4-BE49-F238E27FC236}">
              <a16:creationId xmlns:a16="http://schemas.microsoft.com/office/drawing/2014/main" id="{D6E68A00-79A7-43CA-95F0-871ACF7CAED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7" name="CaixaDeTexto 1296">
          <a:extLst>
            <a:ext uri="{FF2B5EF4-FFF2-40B4-BE49-F238E27FC236}">
              <a16:creationId xmlns:a16="http://schemas.microsoft.com/office/drawing/2014/main" id="{DCD53F19-D974-47C8-8EA4-437074D1080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8" name="CaixaDeTexto 1297">
          <a:extLst>
            <a:ext uri="{FF2B5EF4-FFF2-40B4-BE49-F238E27FC236}">
              <a16:creationId xmlns:a16="http://schemas.microsoft.com/office/drawing/2014/main" id="{F6D2F87E-1B14-49EA-92C2-92DB7F86EC6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299" name="CaixaDeTexto 1298">
          <a:extLst>
            <a:ext uri="{FF2B5EF4-FFF2-40B4-BE49-F238E27FC236}">
              <a16:creationId xmlns:a16="http://schemas.microsoft.com/office/drawing/2014/main" id="{2A6C7F43-2628-4FFA-A40E-CD3D252EE2A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0" name="CaixaDeTexto 1299">
          <a:extLst>
            <a:ext uri="{FF2B5EF4-FFF2-40B4-BE49-F238E27FC236}">
              <a16:creationId xmlns:a16="http://schemas.microsoft.com/office/drawing/2014/main" id="{D684955F-F7CA-44E4-8956-FC9934D0E86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1" name="CaixaDeTexto 1300">
          <a:extLst>
            <a:ext uri="{FF2B5EF4-FFF2-40B4-BE49-F238E27FC236}">
              <a16:creationId xmlns:a16="http://schemas.microsoft.com/office/drawing/2014/main" id="{B0468AEF-E2BA-42CD-890F-C5FF0F1224E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2" name="CaixaDeTexto 1301">
          <a:extLst>
            <a:ext uri="{FF2B5EF4-FFF2-40B4-BE49-F238E27FC236}">
              <a16:creationId xmlns:a16="http://schemas.microsoft.com/office/drawing/2014/main" id="{4104C35B-E150-474A-9AA8-37529F78A63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3" name="CaixaDeTexto 1302">
          <a:extLst>
            <a:ext uri="{FF2B5EF4-FFF2-40B4-BE49-F238E27FC236}">
              <a16:creationId xmlns:a16="http://schemas.microsoft.com/office/drawing/2014/main" id="{74787B0F-2205-4944-BCFD-7CC836C9CF8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4" name="CaixaDeTexto 1303">
          <a:extLst>
            <a:ext uri="{FF2B5EF4-FFF2-40B4-BE49-F238E27FC236}">
              <a16:creationId xmlns:a16="http://schemas.microsoft.com/office/drawing/2014/main" id="{BD6FB0D2-528B-48AF-A42A-8A6FEE9E76F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5" name="CaixaDeTexto 1304">
          <a:extLst>
            <a:ext uri="{FF2B5EF4-FFF2-40B4-BE49-F238E27FC236}">
              <a16:creationId xmlns:a16="http://schemas.microsoft.com/office/drawing/2014/main" id="{E301616A-69C5-4F0C-916B-0791C7C039F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6" name="CaixaDeTexto 1305">
          <a:extLst>
            <a:ext uri="{FF2B5EF4-FFF2-40B4-BE49-F238E27FC236}">
              <a16:creationId xmlns:a16="http://schemas.microsoft.com/office/drawing/2014/main" id="{32B2EC8B-1B77-4DE5-A3E7-37CE3E2263F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7" name="CaixaDeTexto 1306">
          <a:extLst>
            <a:ext uri="{FF2B5EF4-FFF2-40B4-BE49-F238E27FC236}">
              <a16:creationId xmlns:a16="http://schemas.microsoft.com/office/drawing/2014/main" id="{BADD724C-E755-4C32-B806-5E2B6E7F686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8" name="CaixaDeTexto 1307">
          <a:extLst>
            <a:ext uri="{FF2B5EF4-FFF2-40B4-BE49-F238E27FC236}">
              <a16:creationId xmlns:a16="http://schemas.microsoft.com/office/drawing/2014/main" id="{77F822CC-8459-489B-8540-452F4E024FC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09" name="CaixaDeTexto 1308">
          <a:extLst>
            <a:ext uri="{FF2B5EF4-FFF2-40B4-BE49-F238E27FC236}">
              <a16:creationId xmlns:a16="http://schemas.microsoft.com/office/drawing/2014/main" id="{B348741F-7D9F-4EB1-A07C-122F2CCF4A5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10" name="CaixaDeTexto 1309">
          <a:extLst>
            <a:ext uri="{FF2B5EF4-FFF2-40B4-BE49-F238E27FC236}">
              <a16:creationId xmlns:a16="http://schemas.microsoft.com/office/drawing/2014/main" id="{73A1E68D-4038-4A68-AAF9-C2AFC0F62CF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11" name="CaixaDeTexto 1310">
          <a:extLst>
            <a:ext uri="{FF2B5EF4-FFF2-40B4-BE49-F238E27FC236}">
              <a16:creationId xmlns:a16="http://schemas.microsoft.com/office/drawing/2014/main" id="{D620EE38-1A1E-4935-9BB8-066C89B0BF6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12" name="CaixaDeTexto 1311">
          <a:extLst>
            <a:ext uri="{FF2B5EF4-FFF2-40B4-BE49-F238E27FC236}">
              <a16:creationId xmlns:a16="http://schemas.microsoft.com/office/drawing/2014/main" id="{D4D9DCA3-6CCA-498A-9C8B-E5F7813C730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13" name="CaixaDeTexto 1312">
          <a:extLst>
            <a:ext uri="{FF2B5EF4-FFF2-40B4-BE49-F238E27FC236}">
              <a16:creationId xmlns:a16="http://schemas.microsoft.com/office/drawing/2014/main" id="{4726BB9F-B32B-4BE8-AF1E-7450C44D2E25}"/>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14" name="CaixaDeTexto 1313">
          <a:extLst>
            <a:ext uri="{FF2B5EF4-FFF2-40B4-BE49-F238E27FC236}">
              <a16:creationId xmlns:a16="http://schemas.microsoft.com/office/drawing/2014/main" id="{BB556B57-0F9F-49CC-B526-B1788C0E93C3}"/>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15" name="CaixaDeTexto 1314">
          <a:extLst>
            <a:ext uri="{FF2B5EF4-FFF2-40B4-BE49-F238E27FC236}">
              <a16:creationId xmlns:a16="http://schemas.microsoft.com/office/drawing/2014/main" id="{87C23BEF-6A4A-4186-AF8F-E48BF451BAE3}"/>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16" name="CaixaDeTexto 1315">
          <a:extLst>
            <a:ext uri="{FF2B5EF4-FFF2-40B4-BE49-F238E27FC236}">
              <a16:creationId xmlns:a16="http://schemas.microsoft.com/office/drawing/2014/main" id="{FA90C39A-F48C-4612-82C6-0826D8F8E94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17" name="CaixaDeTexto 1316">
          <a:extLst>
            <a:ext uri="{FF2B5EF4-FFF2-40B4-BE49-F238E27FC236}">
              <a16:creationId xmlns:a16="http://schemas.microsoft.com/office/drawing/2014/main" id="{89B95E70-20EC-48A2-AF27-3F2B5B289D21}"/>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18" name="CaixaDeTexto 1317">
          <a:extLst>
            <a:ext uri="{FF2B5EF4-FFF2-40B4-BE49-F238E27FC236}">
              <a16:creationId xmlns:a16="http://schemas.microsoft.com/office/drawing/2014/main" id="{DF60D35C-6637-490D-91A4-15DBC5AD419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19" name="CaixaDeTexto 1318">
          <a:extLst>
            <a:ext uri="{FF2B5EF4-FFF2-40B4-BE49-F238E27FC236}">
              <a16:creationId xmlns:a16="http://schemas.microsoft.com/office/drawing/2014/main" id="{7CF533CE-4026-4940-95F3-FCD2C5C214A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0" name="CaixaDeTexto 1319">
          <a:extLst>
            <a:ext uri="{FF2B5EF4-FFF2-40B4-BE49-F238E27FC236}">
              <a16:creationId xmlns:a16="http://schemas.microsoft.com/office/drawing/2014/main" id="{E7F17048-4F0C-4576-A1DD-5832A1942C31}"/>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1" name="CaixaDeTexto 1320">
          <a:extLst>
            <a:ext uri="{FF2B5EF4-FFF2-40B4-BE49-F238E27FC236}">
              <a16:creationId xmlns:a16="http://schemas.microsoft.com/office/drawing/2014/main" id="{3B6F2237-91A4-43D4-8923-8B6CD3D5025A}"/>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488</xdr:row>
      <xdr:rowOff>0</xdr:rowOff>
    </xdr:from>
    <xdr:ext cx="184731" cy="264560"/>
    <xdr:sp macro="" textlink="">
      <xdr:nvSpPr>
        <xdr:cNvPr id="1322" name="CaixaDeTexto 1321">
          <a:extLst>
            <a:ext uri="{FF2B5EF4-FFF2-40B4-BE49-F238E27FC236}">
              <a16:creationId xmlns:a16="http://schemas.microsoft.com/office/drawing/2014/main" id="{41A7AD79-C784-41A7-840E-B97C5AAEE339}"/>
            </a:ext>
          </a:extLst>
        </xdr:cNvPr>
        <xdr:cNvSpPr txBox="1"/>
      </xdr:nvSpPr>
      <xdr:spPr>
        <a:xfrm>
          <a:off x="5275157" y="977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3" name="CaixaDeTexto 1322">
          <a:extLst>
            <a:ext uri="{FF2B5EF4-FFF2-40B4-BE49-F238E27FC236}">
              <a16:creationId xmlns:a16="http://schemas.microsoft.com/office/drawing/2014/main" id="{C3FEFC0B-B699-4932-8C85-966FFCD516B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324" name="CaixaDeTexto 1323">
          <a:extLst>
            <a:ext uri="{FF2B5EF4-FFF2-40B4-BE49-F238E27FC236}">
              <a16:creationId xmlns:a16="http://schemas.microsoft.com/office/drawing/2014/main" id="{70715C9B-D533-42C9-89A3-05D5AE91A125}"/>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5" name="CaixaDeTexto 1324">
          <a:extLst>
            <a:ext uri="{FF2B5EF4-FFF2-40B4-BE49-F238E27FC236}">
              <a16:creationId xmlns:a16="http://schemas.microsoft.com/office/drawing/2014/main" id="{F3FC147A-CD8D-4D6A-88C3-C7A99BE96BD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6" name="CaixaDeTexto 1325">
          <a:extLst>
            <a:ext uri="{FF2B5EF4-FFF2-40B4-BE49-F238E27FC236}">
              <a16:creationId xmlns:a16="http://schemas.microsoft.com/office/drawing/2014/main" id="{0F33B2CA-2A13-423D-B6C8-B9069DEEAC1A}"/>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7" name="CaixaDeTexto 1326">
          <a:extLst>
            <a:ext uri="{FF2B5EF4-FFF2-40B4-BE49-F238E27FC236}">
              <a16:creationId xmlns:a16="http://schemas.microsoft.com/office/drawing/2014/main" id="{9AF2B961-D34F-4BE6-A139-FBB15641343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8" name="CaixaDeTexto 1327">
          <a:extLst>
            <a:ext uri="{FF2B5EF4-FFF2-40B4-BE49-F238E27FC236}">
              <a16:creationId xmlns:a16="http://schemas.microsoft.com/office/drawing/2014/main" id="{4C8071C4-4066-4894-8B8D-A0046B89436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29" name="CaixaDeTexto 1328">
          <a:extLst>
            <a:ext uri="{FF2B5EF4-FFF2-40B4-BE49-F238E27FC236}">
              <a16:creationId xmlns:a16="http://schemas.microsoft.com/office/drawing/2014/main" id="{458C375D-C59A-4E14-A080-79CBE492040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30" name="CaixaDeTexto 1329">
          <a:extLst>
            <a:ext uri="{FF2B5EF4-FFF2-40B4-BE49-F238E27FC236}">
              <a16:creationId xmlns:a16="http://schemas.microsoft.com/office/drawing/2014/main" id="{CC3FF052-D39B-4015-95D8-AAD045678F9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31" name="CaixaDeTexto 1330">
          <a:extLst>
            <a:ext uri="{FF2B5EF4-FFF2-40B4-BE49-F238E27FC236}">
              <a16:creationId xmlns:a16="http://schemas.microsoft.com/office/drawing/2014/main" id="{05ADC7A5-ADB3-4F03-A455-E54267F2F692}"/>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32" name="CaixaDeTexto 1331">
          <a:extLst>
            <a:ext uri="{FF2B5EF4-FFF2-40B4-BE49-F238E27FC236}">
              <a16:creationId xmlns:a16="http://schemas.microsoft.com/office/drawing/2014/main" id="{87B0F0B9-0DC8-4362-8B66-3E00B8F263F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333" name="CaixaDeTexto 1332">
          <a:extLst>
            <a:ext uri="{FF2B5EF4-FFF2-40B4-BE49-F238E27FC236}">
              <a16:creationId xmlns:a16="http://schemas.microsoft.com/office/drawing/2014/main" id="{82241DBF-D073-446D-978A-EEF462CD525D}"/>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34" name="CaixaDeTexto 1333">
          <a:extLst>
            <a:ext uri="{FF2B5EF4-FFF2-40B4-BE49-F238E27FC236}">
              <a16:creationId xmlns:a16="http://schemas.microsoft.com/office/drawing/2014/main" id="{22365D15-4652-4264-B366-8EC8A6C43C7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35" name="CaixaDeTexto 1334">
          <a:extLst>
            <a:ext uri="{FF2B5EF4-FFF2-40B4-BE49-F238E27FC236}">
              <a16:creationId xmlns:a16="http://schemas.microsoft.com/office/drawing/2014/main" id="{F1A17FF5-BC6F-448D-9499-8FA911738E6B}"/>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36" name="CaixaDeTexto 1335">
          <a:extLst>
            <a:ext uri="{FF2B5EF4-FFF2-40B4-BE49-F238E27FC236}">
              <a16:creationId xmlns:a16="http://schemas.microsoft.com/office/drawing/2014/main" id="{FD7AECF3-B8EB-4DA3-8183-6FEBD986CAC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37" name="CaixaDeTexto 1336">
          <a:extLst>
            <a:ext uri="{FF2B5EF4-FFF2-40B4-BE49-F238E27FC236}">
              <a16:creationId xmlns:a16="http://schemas.microsoft.com/office/drawing/2014/main" id="{6386E9C8-DB84-4686-8C08-97E5CE9FABA2}"/>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38" name="CaixaDeTexto 1337">
          <a:extLst>
            <a:ext uri="{FF2B5EF4-FFF2-40B4-BE49-F238E27FC236}">
              <a16:creationId xmlns:a16="http://schemas.microsoft.com/office/drawing/2014/main" id="{7171BC14-B365-481A-9062-6D46A0C91CC0}"/>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39" name="CaixaDeTexto 1338">
          <a:extLst>
            <a:ext uri="{FF2B5EF4-FFF2-40B4-BE49-F238E27FC236}">
              <a16:creationId xmlns:a16="http://schemas.microsoft.com/office/drawing/2014/main" id="{A5B02E3F-BD07-4FB6-9A77-F63A978814D0}"/>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40" name="CaixaDeTexto 1339">
          <a:extLst>
            <a:ext uri="{FF2B5EF4-FFF2-40B4-BE49-F238E27FC236}">
              <a16:creationId xmlns:a16="http://schemas.microsoft.com/office/drawing/2014/main" id="{96794C8F-D470-400E-97F2-7EE2BF9DA5DD}"/>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41" name="CaixaDeTexto 1340">
          <a:extLst>
            <a:ext uri="{FF2B5EF4-FFF2-40B4-BE49-F238E27FC236}">
              <a16:creationId xmlns:a16="http://schemas.microsoft.com/office/drawing/2014/main" id="{3F0F3D7B-2BF6-451B-9462-A1F249F9C601}"/>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42" name="CaixaDeTexto 1341">
          <a:extLst>
            <a:ext uri="{FF2B5EF4-FFF2-40B4-BE49-F238E27FC236}">
              <a16:creationId xmlns:a16="http://schemas.microsoft.com/office/drawing/2014/main" id="{E21DAD17-4E85-4F56-B102-DD3EAF26ED32}"/>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43" name="CaixaDeTexto 1342">
          <a:extLst>
            <a:ext uri="{FF2B5EF4-FFF2-40B4-BE49-F238E27FC236}">
              <a16:creationId xmlns:a16="http://schemas.microsoft.com/office/drawing/2014/main" id="{6DC7E4E2-46A7-4D95-8D89-36890FD185FE}"/>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44" name="CaixaDeTexto 1343">
          <a:extLst>
            <a:ext uri="{FF2B5EF4-FFF2-40B4-BE49-F238E27FC236}">
              <a16:creationId xmlns:a16="http://schemas.microsoft.com/office/drawing/2014/main" id="{62905588-2BCD-4A0F-A54C-90FC602A98E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45" name="CaixaDeTexto 1344">
          <a:extLst>
            <a:ext uri="{FF2B5EF4-FFF2-40B4-BE49-F238E27FC236}">
              <a16:creationId xmlns:a16="http://schemas.microsoft.com/office/drawing/2014/main" id="{51368463-C7C9-469A-99EE-DBF4306F86D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46" name="CaixaDeTexto 1345">
          <a:extLst>
            <a:ext uri="{FF2B5EF4-FFF2-40B4-BE49-F238E27FC236}">
              <a16:creationId xmlns:a16="http://schemas.microsoft.com/office/drawing/2014/main" id="{53DD2B0D-29A8-4F1C-A801-59CFE498F88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47" name="CaixaDeTexto 1346">
          <a:extLst>
            <a:ext uri="{FF2B5EF4-FFF2-40B4-BE49-F238E27FC236}">
              <a16:creationId xmlns:a16="http://schemas.microsoft.com/office/drawing/2014/main" id="{3C36145A-FA47-42FD-BD9C-66385A59D29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48" name="CaixaDeTexto 1347">
          <a:extLst>
            <a:ext uri="{FF2B5EF4-FFF2-40B4-BE49-F238E27FC236}">
              <a16:creationId xmlns:a16="http://schemas.microsoft.com/office/drawing/2014/main" id="{1F540EF0-FCF6-4348-833D-0FFF649BB02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49" name="CaixaDeTexto 1348">
          <a:extLst>
            <a:ext uri="{FF2B5EF4-FFF2-40B4-BE49-F238E27FC236}">
              <a16:creationId xmlns:a16="http://schemas.microsoft.com/office/drawing/2014/main" id="{62EB778D-793F-42C0-82D6-BBE8E8F9A45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0" name="CaixaDeTexto 1349">
          <a:extLst>
            <a:ext uri="{FF2B5EF4-FFF2-40B4-BE49-F238E27FC236}">
              <a16:creationId xmlns:a16="http://schemas.microsoft.com/office/drawing/2014/main" id="{A8882C36-608B-4D2D-8769-72CDB11C45C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1" name="CaixaDeTexto 1350">
          <a:extLst>
            <a:ext uri="{FF2B5EF4-FFF2-40B4-BE49-F238E27FC236}">
              <a16:creationId xmlns:a16="http://schemas.microsoft.com/office/drawing/2014/main" id="{AD8F30F2-0F30-4243-B3EE-D73EC9A6AF1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2" name="CaixaDeTexto 1351">
          <a:extLst>
            <a:ext uri="{FF2B5EF4-FFF2-40B4-BE49-F238E27FC236}">
              <a16:creationId xmlns:a16="http://schemas.microsoft.com/office/drawing/2014/main" id="{99367D20-8758-401B-93C5-ABB781905ED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3" name="CaixaDeTexto 1352">
          <a:extLst>
            <a:ext uri="{FF2B5EF4-FFF2-40B4-BE49-F238E27FC236}">
              <a16:creationId xmlns:a16="http://schemas.microsoft.com/office/drawing/2014/main" id="{9CC4EBA6-A9AB-42AC-B75A-213AAB4B85C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4" name="CaixaDeTexto 1353">
          <a:extLst>
            <a:ext uri="{FF2B5EF4-FFF2-40B4-BE49-F238E27FC236}">
              <a16:creationId xmlns:a16="http://schemas.microsoft.com/office/drawing/2014/main" id="{59B32D14-1DE5-42AC-937A-314A4F7568D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5" name="CaixaDeTexto 1354">
          <a:extLst>
            <a:ext uri="{FF2B5EF4-FFF2-40B4-BE49-F238E27FC236}">
              <a16:creationId xmlns:a16="http://schemas.microsoft.com/office/drawing/2014/main" id="{76653B3F-DC5E-4822-84ED-A37909563A3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6" name="CaixaDeTexto 1355">
          <a:extLst>
            <a:ext uri="{FF2B5EF4-FFF2-40B4-BE49-F238E27FC236}">
              <a16:creationId xmlns:a16="http://schemas.microsoft.com/office/drawing/2014/main" id="{2766867D-44F8-4365-BB62-10DB0D9DC51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7" name="CaixaDeTexto 1356">
          <a:extLst>
            <a:ext uri="{FF2B5EF4-FFF2-40B4-BE49-F238E27FC236}">
              <a16:creationId xmlns:a16="http://schemas.microsoft.com/office/drawing/2014/main" id="{DE7690E5-6BFE-406B-82FB-F730C9BFE0C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8" name="CaixaDeTexto 1357">
          <a:extLst>
            <a:ext uri="{FF2B5EF4-FFF2-40B4-BE49-F238E27FC236}">
              <a16:creationId xmlns:a16="http://schemas.microsoft.com/office/drawing/2014/main" id="{3AB95D1C-055B-467E-9E15-3ECAFDC4B63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59" name="CaixaDeTexto 1358">
          <a:extLst>
            <a:ext uri="{FF2B5EF4-FFF2-40B4-BE49-F238E27FC236}">
              <a16:creationId xmlns:a16="http://schemas.microsoft.com/office/drawing/2014/main" id="{715C90D8-6B9F-4D5D-BEC8-E3D5B3581F3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0" name="CaixaDeTexto 1359">
          <a:extLst>
            <a:ext uri="{FF2B5EF4-FFF2-40B4-BE49-F238E27FC236}">
              <a16:creationId xmlns:a16="http://schemas.microsoft.com/office/drawing/2014/main" id="{91C0CA70-6307-41B7-A6B2-2F8F6FE73F8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1" name="CaixaDeTexto 1360">
          <a:extLst>
            <a:ext uri="{FF2B5EF4-FFF2-40B4-BE49-F238E27FC236}">
              <a16:creationId xmlns:a16="http://schemas.microsoft.com/office/drawing/2014/main" id="{4AA6548B-9D80-424A-B44C-A1C31E5AE73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2" name="CaixaDeTexto 1361">
          <a:extLst>
            <a:ext uri="{FF2B5EF4-FFF2-40B4-BE49-F238E27FC236}">
              <a16:creationId xmlns:a16="http://schemas.microsoft.com/office/drawing/2014/main" id="{B24C33A4-B12D-4146-B79D-D10B4336E90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3" name="CaixaDeTexto 1362">
          <a:extLst>
            <a:ext uri="{FF2B5EF4-FFF2-40B4-BE49-F238E27FC236}">
              <a16:creationId xmlns:a16="http://schemas.microsoft.com/office/drawing/2014/main" id="{126266DB-A376-4821-A0F0-E6BAB42AEA1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4" name="CaixaDeTexto 1363">
          <a:extLst>
            <a:ext uri="{FF2B5EF4-FFF2-40B4-BE49-F238E27FC236}">
              <a16:creationId xmlns:a16="http://schemas.microsoft.com/office/drawing/2014/main" id="{910D7BE3-77A0-4770-99D1-CDE3EF3DD9B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5" name="CaixaDeTexto 1364">
          <a:extLst>
            <a:ext uri="{FF2B5EF4-FFF2-40B4-BE49-F238E27FC236}">
              <a16:creationId xmlns:a16="http://schemas.microsoft.com/office/drawing/2014/main" id="{73C61BF8-D34E-4A1E-A6E1-BBA20EE9798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6" name="CaixaDeTexto 1365">
          <a:extLst>
            <a:ext uri="{FF2B5EF4-FFF2-40B4-BE49-F238E27FC236}">
              <a16:creationId xmlns:a16="http://schemas.microsoft.com/office/drawing/2014/main" id="{B92E6486-15E5-48DB-8ACD-8BB2ED1A190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7" name="CaixaDeTexto 1366">
          <a:extLst>
            <a:ext uri="{FF2B5EF4-FFF2-40B4-BE49-F238E27FC236}">
              <a16:creationId xmlns:a16="http://schemas.microsoft.com/office/drawing/2014/main" id="{1C39813A-F98B-4CCF-920C-7494680F4A9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8" name="CaixaDeTexto 1367">
          <a:extLst>
            <a:ext uri="{FF2B5EF4-FFF2-40B4-BE49-F238E27FC236}">
              <a16:creationId xmlns:a16="http://schemas.microsoft.com/office/drawing/2014/main" id="{274CB541-6A65-4304-8E99-66AA9D6BDB0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69" name="CaixaDeTexto 1368">
          <a:extLst>
            <a:ext uri="{FF2B5EF4-FFF2-40B4-BE49-F238E27FC236}">
              <a16:creationId xmlns:a16="http://schemas.microsoft.com/office/drawing/2014/main" id="{AF08B9B7-E3A0-41F0-95B0-A707533C31A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0" name="CaixaDeTexto 1369">
          <a:extLst>
            <a:ext uri="{FF2B5EF4-FFF2-40B4-BE49-F238E27FC236}">
              <a16:creationId xmlns:a16="http://schemas.microsoft.com/office/drawing/2014/main" id="{392B21B1-B3F9-453A-9FFF-4EDA0789915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1" name="CaixaDeTexto 1370">
          <a:extLst>
            <a:ext uri="{FF2B5EF4-FFF2-40B4-BE49-F238E27FC236}">
              <a16:creationId xmlns:a16="http://schemas.microsoft.com/office/drawing/2014/main" id="{66EB2533-66AE-4A90-B9D3-E487B987D51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2" name="CaixaDeTexto 1371">
          <a:extLst>
            <a:ext uri="{FF2B5EF4-FFF2-40B4-BE49-F238E27FC236}">
              <a16:creationId xmlns:a16="http://schemas.microsoft.com/office/drawing/2014/main" id="{16413468-3433-4F35-BD8A-152F16AE6E5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3" name="CaixaDeTexto 1372">
          <a:extLst>
            <a:ext uri="{FF2B5EF4-FFF2-40B4-BE49-F238E27FC236}">
              <a16:creationId xmlns:a16="http://schemas.microsoft.com/office/drawing/2014/main" id="{7200E0EF-B0E7-4809-AD20-FCFD168EF32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4" name="CaixaDeTexto 1373">
          <a:extLst>
            <a:ext uri="{FF2B5EF4-FFF2-40B4-BE49-F238E27FC236}">
              <a16:creationId xmlns:a16="http://schemas.microsoft.com/office/drawing/2014/main" id="{B17EF020-E79C-4DE1-BFF6-E6F8E07E232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5" name="CaixaDeTexto 1374">
          <a:extLst>
            <a:ext uri="{FF2B5EF4-FFF2-40B4-BE49-F238E27FC236}">
              <a16:creationId xmlns:a16="http://schemas.microsoft.com/office/drawing/2014/main" id="{E4029B8F-41F8-4CC7-AF6D-4E946DA3948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6" name="CaixaDeTexto 1375">
          <a:extLst>
            <a:ext uri="{FF2B5EF4-FFF2-40B4-BE49-F238E27FC236}">
              <a16:creationId xmlns:a16="http://schemas.microsoft.com/office/drawing/2014/main" id="{81DC1669-D436-46C0-93C4-36F75F6DFFB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7" name="CaixaDeTexto 1376">
          <a:extLst>
            <a:ext uri="{FF2B5EF4-FFF2-40B4-BE49-F238E27FC236}">
              <a16:creationId xmlns:a16="http://schemas.microsoft.com/office/drawing/2014/main" id="{445E6DB9-7A38-4FDD-9364-634E3CE8129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8" name="CaixaDeTexto 1377">
          <a:extLst>
            <a:ext uri="{FF2B5EF4-FFF2-40B4-BE49-F238E27FC236}">
              <a16:creationId xmlns:a16="http://schemas.microsoft.com/office/drawing/2014/main" id="{37B8036F-0872-430F-9A94-605AF544292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79" name="CaixaDeTexto 1378">
          <a:extLst>
            <a:ext uri="{FF2B5EF4-FFF2-40B4-BE49-F238E27FC236}">
              <a16:creationId xmlns:a16="http://schemas.microsoft.com/office/drawing/2014/main" id="{B85C1F8C-7E0A-4F88-8201-4F44D1623B4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0" name="CaixaDeTexto 1379">
          <a:extLst>
            <a:ext uri="{FF2B5EF4-FFF2-40B4-BE49-F238E27FC236}">
              <a16:creationId xmlns:a16="http://schemas.microsoft.com/office/drawing/2014/main" id="{51542531-9CD9-4A6F-95E1-1598E4E316A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1" name="CaixaDeTexto 1380">
          <a:extLst>
            <a:ext uri="{FF2B5EF4-FFF2-40B4-BE49-F238E27FC236}">
              <a16:creationId xmlns:a16="http://schemas.microsoft.com/office/drawing/2014/main" id="{C044E308-7596-4337-906B-FF8446DE9D4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2" name="CaixaDeTexto 1381">
          <a:extLst>
            <a:ext uri="{FF2B5EF4-FFF2-40B4-BE49-F238E27FC236}">
              <a16:creationId xmlns:a16="http://schemas.microsoft.com/office/drawing/2014/main" id="{D9DA3339-1743-4137-BC25-DE1CE9F557D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3" name="CaixaDeTexto 1382">
          <a:extLst>
            <a:ext uri="{FF2B5EF4-FFF2-40B4-BE49-F238E27FC236}">
              <a16:creationId xmlns:a16="http://schemas.microsoft.com/office/drawing/2014/main" id="{89588C82-01C0-4203-98CA-4C76DF1C4B1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4" name="CaixaDeTexto 1383">
          <a:extLst>
            <a:ext uri="{FF2B5EF4-FFF2-40B4-BE49-F238E27FC236}">
              <a16:creationId xmlns:a16="http://schemas.microsoft.com/office/drawing/2014/main" id="{44A1D128-4598-41D0-8D25-85AEFC26370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5" name="CaixaDeTexto 1384">
          <a:extLst>
            <a:ext uri="{FF2B5EF4-FFF2-40B4-BE49-F238E27FC236}">
              <a16:creationId xmlns:a16="http://schemas.microsoft.com/office/drawing/2014/main" id="{954FF120-3FB1-4951-889D-93E6FD03237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6" name="CaixaDeTexto 1385">
          <a:extLst>
            <a:ext uri="{FF2B5EF4-FFF2-40B4-BE49-F238E27FC236}">
              <a16:creationId xmlns:a16="http://schemas.microsoft.com/office/drawing/2014/main" id="{33E9E267-2639-447C-9EE6-BD32262873D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7" name="CaixaDeTexto 1386">
          <a:extLst>
            <a:ext uri="{FF2B5EF4-FFF2-40B4-BE49-F238E27FC236}">
              <a16:creationId xmlns:a16="http://schemas.microsoft.com/office/drawing/2014/main" id="{98E244E9-7AF5-4D29-8D3A-806889A1E46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388" name="CaixaDeTexto 1387">
          <a:extLst>
            <a:ext uri="{FF2B5EF4-FFF2-40B4-BE49-F238E27FC236}">
              <a16:creationId xmlns:a16="http://schemas.microsoft.com/office/drawing/2014/main" id="{B1DD0385-5AC4-4919-B684-779A24344B4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89" name="CaixaDeTexto 1388">
          <a:extLst>
            <a:ext uri="{FF2B5EF4-FFF2-40B4-BE49-F238E27FC236}">
              <a16:creationId xmlns:a16="http://schemas.microsoft.com/office/drawing/2014/main" id="{C460C726-C23C-402A-925A-FD1ED804CC9A}"/>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0" name="CaixaDeTexto 1389">
          <a:extLst>
            <a:ext uri="{FF2B5EF4-FFF2-40B4-BE49-F238E27FC236}">
              <a16:creationId xmlns:a16="http://schemas.microsoft.com/office/drawing/2014/main" id="{3187071F-0231-4F39-911C-3493FF769C8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391" name="CaixaDeTexto 1390">
          <a:extLst>
            <a:ext uri="{FF2B5EF4-FFF2-40B4-BE49-F238E27FC236}">
              <a16:creationId xmlns:a16="http://schemas.microsoft.com/office/drawing/2014/main" id="{B363E9B6-1514-46AE-9A80-33D8E52EB332}"/>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2" name="CaixaDeTexto 1391">
          <a:extLst>
            <a:ext uri="{FF2B5EF4-FFF2-40B4-BE49-F238E27FC236}">
              <a16:creationId xmlns:a16="http://schemas.microsoft.com/office/drawing/2014/main" id="{6F01D8E0-FCBB-4236-B1B0-34AAEBFC1E9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3" name="CaixaDeTexto 1392">
          <a:extLst>
            <a:ext uri="{FF2B5EF4-FFF2-40B4-BE49-F238E27FC236}">
              <a16:creationId xmlns:a16="http://schemas.microsoft.com/office/drawing/2014/main" id="{9DAC6590-F31C-45FD-A7F6-D38AE404EB78}"/>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4" name="CaixaDeTexto 1393">
          <a:extLst>
            <a:ext uri="{FF2B5EF4-FFF2-40B4-BE49-F238E27FC236}">
              <a16:creationId xmlns:a16="http://schemas.microsoft.com/office/drawing/2014/main" id="{ACC4C43B-BB72-4827-827A-56A32A8614E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5" name="CaixaDeTexto 1394">
          <a:extLst>
            <a:ext uri="{FF2B5EF4-FFF2-40B4-BE49-F238E27FC236}">
              <a16:creationId xmlns:a16="http://schemas.microsoft.com/office/drawing/2014/main" id="{1F89058F-1DDB-4EE5-A8D7-9E34087DA8A4}"/>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6" name="CaixaDeTexto 1395">
          <a:extLst>
            <a:ext uri="{FF2B5EF4-FFF2-40B4-BE49-F238E27FC236}">
              <a16:creationId xmlns:a16="http://schemas.microsoft.com/office/drawing/2014/main" id="{CBD3212C-B30E-4E78-8DCE-194B281A18AE}"/>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7" name="CaixaDeTexto 1396">
          <a:extLst>
            <a:ext uri="{FF2B5EF4-FFF2-40B4-BE49-F238E27FC236}">
              <a16:creationId xmlns:a16="http://schemas.microsoft.com/office/drawing/2014/main" id="{AEBA2478-5751-490C-B134-81A70F7D0C6A}"/>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488</xdr:row>
      <xdr:rowOff>0</xdr:rowOff>
    </xdr:from>
    <xdr:ext cx="184731" cy="264560"/>
    <xdr:sp macro="" textlink="">
      <xdr:nvSpPr>
        <xdr:cNvPr id="1398" name="CaixaDeTexto 1397">
          <a:extLst>
            <a:ext uri="{FF2B5EF4-FFF2-40B4-BE49-F238E27FC236}">
              <a16:creationId xmlns:a16="http://schemas.microsoft.com/office/drawing/2014/main" id="{03163577-4248-4443-BE0B-CB86FD4B5F14}"/>
            </a:ext>
          </a:extLst>
        </xdr:cNvPr>
        <xdr:cNvSpPr txBox="1"/>
      </xdr:nvSpPr>
      <xdr:spPr>
        <a:xfrm>
          <a:off x="5275157" y="977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399" name="CaixaDeTexto 1398">
          <a:extLst>
            <a:ext uri="{FF2B5EF4-FFF2-40B4-BE49-F238E27FC236}">
              <a16:creationId xmlns:a16="http://schemas.microsoft.com/office/drawing/2014/main" id="{81490CCC-D74C-4954-BDD4-EE9EEF215C5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400" name="CaixaDeTexto 1399">
          <a:extLst>
            <a:ext uri="{FF2B5EF4-FFF2-40B4-BE49-F238E27FC236}">
              <a16:creationId xmlns:a16="http://schemas.microsoft.com/office/drawing/2014/main" id="{014B3AB4-264C-4F27-BAFE-4F68909F30F7}"/>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1" name="CaixaDeTexto 1400">
          <a:extLst>
            <a:ext uri="{FF2B5EF4-FFF2-40B4-BE49-F238E27FC236}">
              <a16:creationId xmlns:a16="http://schemas.microsoft.com/office/drawing/2014/main" id="{D8E31477-0293-4BCB-8E92-772A51C0AAF2}"/>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2" name="CaixaDeTexto 1401">
          <a:extLst>
            <a:ext uri="{FF2B5EF4-FFF2-40B4-BE49-F238E27FC236}">
              <a16:creationId xmlns:a16="http://schemas.microsoft.com/office/drawing/2014/main" id="{4136F191-0109-40FD-89D2-FF72DD1CF154}"/>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3" name="CaixaDeTexto 1402">
          <a:extLst>
            <a:ext uri="{FF2B5EF4-FFF2-40B4-BE49-F238E27FC236}">
              <a16:creationId xmlns:a16="http://schemas.microsoft.com/office/drawing/2014/main" id="{AF941161-DD9F-4DE3-9D29-CDDCB6965735}"/>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4" name="CaixaDeTexto 1403">
          <a:extLst>
            <a:ext uri="{FF2B5EF4-FFF2-40B4-BE49-F238E27FC236}">
              <a16:creationId xmlns:a16="http://schemas.microsoft.com/office/drawing/2014/main" id="{A7F9E92A-F711-42AF-BD54-BEC702C92031}"/>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5" name="CaixaDeTexto 1404">
          <a:extLst>
            <a:ext uri="{FF2B5EF4-FFF2-40B4-BE49-F238E27FC236}">
              <a16:creationId xmlns:a16="http://schemas.microsoft.com/office/drawing/2014/main" id="{BF3CB98A-1F83-45FB-A1BB-FA35495AC6B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6" name="CaixaDeTexto 1405">
          <a:extLst>
            <a:ext uri="{FF2B5EF4-FFF2-40B4-BE49-F238E27FC236}">
              <a16:creationId xmlns:a16="http://schemas.microsoft.com/office/drawing/2014/main" id="{C7D09F5E-8FD4-4A2A-8EC6-2F9F431B8C4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7" name="CaixaDeTexto 1406">
          <a:extLst>
            <a:ext uri="{FF2B5EF4-FFF2-40B4-BE49-F238E27FC236}">
              <a16:creationId xmlns:a16="http://schemas.microsoft.com/office/drawing/2014/main" id="{2C75D7F6-772F-4D62-800C-9DF86F759528}"/>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08" name="CaixaDeTexto 1407">
          <a:extLst>
            <a:ext uri="{FF2B5EF4-FFF2-40B4-BE49-F238E27FC236}">
              <a16:creationId xmlns:a16="http://schemas.microsoft.com/office/drawing/2014/main" id="{08D53E8C-B29C-4458-BF4C-62E1D6ACF1A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409" name="CaixaDeTexto 1408">
          <a:extLst>
            <a:ext uri="{FF2B5EF4-FFF2-40B4-BE49-F238E27FC236}">
              <a16:creationId xmlns:a16="http://schemas.microsoft.com/office/drawing/2014/main" id="{303CFB20-5CB5-4061-82A0-454F9306BFDC}"/>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10" name="CaixaDeTexto 1409">
          <a:extLst>
            <a:ext uri="{FF2B5EF4-FFF2-40B4-BE49-F238E27FC236}">
              <a16:creationId xmlns:a16="http://schemas.microsoft.com/office/drawing/2014/main" id="{1F8B992A-770B-4819-8EA5-E6032F3034F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1" name="CaixaDeTexto 1410">
          <a:extLst>
            <a:ext uri="{FF2B5EF4-FFF2-40B4-BE49-F238E27FC236}">
              <a16:creationId xmlns:a16="http://schemas.microsoft.com/office/drawing/2014/main" id="{F20CED34-054F-4F63-8860-7D9188E73868}"/>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12" name="CaixaDeTexto 1411">
          <a:extLst>
            <a:ext uri="{FF2B5EF4-FFF2-40B4-BE49-F238E27FC236}">
              <a16:creationId xmlns:a16="http://schemas.microsoft.com/office/drawing/2014/main" id="{4BDC315A-1CA1-4F8E-B2CF-243BF65B931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3" name="CaixaDeTexto 1412">
          <a:extLst>
            <a:ext uri="{FF2B5EF4-FFF2-40B4-BE49-F238E27FC236}">
              <a16:creationId xmlns:a16="http://schemas.microsoft.com/office/drawing/2014/main" id="{4EB5751A-1EA8-418A-83D1-B6F611DF4F9B}"/>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4" name="CaixaDeTexto 1413">
          <a:extLst>
            <a:ext uri="{FF2B5EF4-FFF2-40B4-BE49-F238E27FC236}">
              <a16:creationId xmlns:a16="http://schemas.microsoft.com/office/drawing/2014/main" id="{356685B5-CFC8-439C-8993-72A7C9D24927}"/>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5" name="CaixaDeTexto 1414">
          <a:extLst>
            <a:ext uri="{FF2B5EF4-FFF2-40B4-BE49-F238E27FC236}">
              <a16:creationId xmlns:a16="http://schemas.microsoft.com/office/drawing/2014/main" id="{03CB06BE-3BF7-4E43-BD74-FE91DC9D8B06}"/>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6" name="CaixaDeTexto 1415">
          <a:extLst>
            <a:ext uri="{FF2B5EF4-FFF2-40B4-BE49-F238E27FC236}">
              <a16:creationId xmlns:a16="http://schemas.microsoft.com/office/drawing/2014/main" id="{5C22F3F5-DA01-40FF-A189-2B4C015B3B58}"/>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7" name="CaixaDeTexto 1416">
          <a:extLst>
            <a:ext uri="{FF2B5EF4-FFF2-40B4-BE49-F238E27FC236}">
              <a16:creationId xmlns:a16="http://schemas.microsoft.com/office/drawing/2014/main" id="{B55DEE4C-E0EA-4D31-99C9-EEC3BF81D961}"/>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8" name="CaixaDeTexto 1417">
          <a:extLst>
            <a:ext uri="{FF2B5EF4-FFF2-40B4-BE49-F238E27FC236}">
              <a16:creationId xmlns:a16="http://schemas.microsoft.com/office/drawing/2014/main" id="{E15F99ED-56B1-4EE9-8FF2-D96B289CFED3}"/>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19" name="CaixaDeTexto 1418">
          <a:extLst>
            <a:ext uri="{FF2B5EF4-FFF2-40B4-BE49-F238E27FC236}">
              <a16:creationId xmlns:a16="http://schemas.microsoft.com/office/drawing/2014/main" id="{7C3A7AC5-79D0-4577-94D4-735CB6AC6FDC}"/>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0" name="CaixaDeTexto 1419">
          <a:extLst>
            <a:ext uri="{FF2B5EF4-FFF2-40B4-BE49-F238E27FC236}">
              <a16:creationId xmlns:a16="http://schemas.microsoft.com/office/drawing/2014/main" id="{9C327D3E-488E-40F5-9828-8E75AF968A2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1" name="CaixaDeTexto 1420">
          <a:extLst>
            <a:ext uri="{FF2B5EF4-FFF2-40B4-BE49-F238E27FC236}">
              <a16:creationId xmlns:a16="http://schemas.microsoft.com/office/drawing/2014/main" id="{22C2435B-BF4C-4F21-9417-A7855D29CBB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2" name="CaixaDeTexto 1421">
          <a:extLst>
            <a:ext uri="{FF2B5EF4-FFF2-40B4-BE49-F238E27FC236}">
              <a16:creationId xmlns:a16="http://schemas.microsoft.com/office/drawing/2014/main" id="{8139946D-212F-4DE9-88F2-3193C5DFEB6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3" name="CaixaDeTexto 1422">
          <a:extLst>
            <a:ext uri="{FF2B5EF4-FFF2-40B4-BE49-F238E27FC236}">
              <a16:creationId xmlns:a16="http://schemas.microsoft.com/office/drawing/2014/main" id="{49FCBD71-FE2A-4205-A079-9ACEECC6854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4" name="CaixaDeTexto 1423">
          <a:extLst>
            <a:ext uri="{FF2B5EF4-FFF2-40B4-BE49-F238E27FC236}">
              <a16:creationId xmlns:a16="http://schemas.microsoft.com/office/drawing/2014/main" id="{76801484-A647-4030-99AD-67CB3DCD984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5" name="CaixaDeTexto 1424">
          <a:extLst>
            <a:ext uri="{FF2B5EF4-FFF2-40B4-BE49-F238E27FC236}">
              <a16:creationId xmlns:a16="http://schemas.microsoft.com/office/drawing/2014/main" id="{4AC1B49A-5C50-457F-923B-87DEBBE385C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6" name="CaixaDeTexto 1425">
          <a:extLst>
            <a:ext uri="{FF2B5EF4-FFF2-40B4-BE49-F238E27FC236}">
              <a16:creationId xmlns:a16="http://schemas.microsoft.com/office/drawing/2014/main" id="{8BEBDA7F-8C35-4BDB-888F-E77ED18F8A4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7" name="CaixaDeTexto 1426">
          <a:extLst>
            <a:ext uri="{FF2B5EF4-FFF2-40B4-BE49-F238E27FC236}">
              <a16:creationId xmlns:a16="http://schemas.microsoft.com/office/drawing/2014/main" id="{6932D3CB-BA27-4990-83EA-7F1D84BE767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8" name="CaixaDeTexto 1427">
          <a:extLst>
            <a:ext uri="{FF2B5EF4-FFF2-40B4-BE49-F238E27FC236}">
              <a16:creationId xmlns:a16="http://schemas.microsoft.com/office/drawing/2014/main" id="{52BE1F76-07AC-492C-B426-9D1BF453830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29" name="CaixaDeTexto 1428">
          <a:extLst>
            <a:ext uri="{FF2B5EF4-FFF2-40B4-BE49-F238E27FC236}">
              <a16:creationId xmlns:a16="http://schemas.microsoft.com/office/drawing/2014/main" id="{1DFE57DF-9BDE-4CB1-BBD1-F4AB4E2A0CB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0" name="CaixaDeTexto 1429">
          <a:extLst>
            <a:ext uri="{FF2B5EF4-FFF2-40B4-BE49-F238E27FC236}">
              <a16:creationId xmlns:a16="http://schemas.microsoft.com/office/drawing/2014/main" id="{B492BCB7-F52F-4787-ABED-51832642CB3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1" name="CaixaDeTexto 1430">
          <a:extLst>
            <a:ext uri="{FF2B5EF4-FFF2-40B4-BE49-F238E27FC236}">
              <a16:creationId xmlns:a16="http://schemas.microsoft.com/office/drawing/2014/main" id="{2C35D438-9423-4D3C-B431-797A7F55087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2" name="CaixaDeTexto 1431">
          <a:extLst>
            <a:ext uri="{FF2B5EF4-FFF2-40B4-BE49-F238E27FC236}">
              <a16:creationId xmlns:a16="http://schemas.microsoft.com/office/drawing/2014/main" id="{131F2E24-9462-48C1-816C-EEE2D0A2FD8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3" name="CaixaDeTexto 1432">
          <a:extLst>
            <a:ext uri="{FF2B5EF4-FFF2-40B4-BE49-F238E27FC236}">
              <a16:creationId xmlns:a16="http://schemas.microsoft.com/office/drawing/2014/main" id="{CA0A03AA-2F50-4286-A3A4-5B924576024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4" name="CaixaDeTexto 1433">
          <a:extLst>
            <a:ext uri="{FF2B5EF4-FFF2-40B4-BE49-F238E27FC236}">
              <a16:creationId xmlns:a16="http://schemas.microsoft.com/office/drawing/2014/main" id="{22D7AA72-9E0C-4B90-ABA1-7130E4064F5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5" name="CaixaDeTexto 1434">
          <a:extLst>
            <a:ext uri="{FF2B5EF4-FFF2-40B4-BE49-F238E27FC236}">
              <a16:creationId xmlns:a16="http://schemas.microsoft.com/office/drawing/2014/main" id="{2C1C0F11-7BEC-4CE6-80F3-7A9289D6831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6" name="CaixaDeTexto 1435">
          <a:extLst>
            <a:ext uri="{FF2B5EF4-FFF2-40B4-BE49-F238E27FC236}">
              <a16:creationId xmlns:a16="http://schemas.microsoft.com/office/drawing/2014/main" id="{D84C24DE-7773-4120-8A93-5B46B51BCA4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7" name="CaixaDeTexto 1436">
          <a:extLst>
            <a:ext uri="{FF2B5EF4-FFF2-40B4-BE49-F238E27FC236}">
              <a16:creationId xmlns:a16="http://schemas.microsoft.com/office/drawing/2014/main" id="{2101D44B-AC72-4394-995F-B9E85AE833E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8" name="CaixaDeTexto 1437">
          <a:extLst>
            <a:ext uri="{FF2B5EF4-FFF2-40B4-BE49-F238E27FC236}">
              <a16:creationId xmlns:a16="http://schemas.microsoft.com/office/drawing/2014/main" id="{2AA9726E-6707-4204-A943-F7F82B380B9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39" name="CaixaDeTexto 1438">
          <a:extLst>
            <a:ext uri="{FF2B5EF4-FFF2-40B4-BE49-F238E27FC236}">
              <a16:creationId xmlns:a16="http://schemas.microsoft.com/office/drawing/2014/main" id="{224BE2A2-1F96-496F-9E6C-277F9545779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0" name="CaixaDeTexto 1439">
          <a:extLst>
            <a:ext uri="{FF2B5EF4-FFF2-40B4-BE49-F238E27FC236}">
              <a16:creationId xmlns:a16="http://schemas.microsoft.com/office/drawing/2014/main" id="{EE57102C-9E87-4453-A2EC-DA81180F9BC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1" name="CaixaDeTexto 1440">
          <a:extLst>
            <a:ext uri="{FF2B5EF4-FFF2-40B4-BE49-F238E27FC236}">
              <a16:creationId xmlns:a16="http://schemas.microsoft.com/office/drawing/2014/main" id="{456B68B1-5E59-492E-9C5D-AC8B5BE3E37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2" name="CaixaDeTexto 1441">
          <a:extLst>
            <a:ext uri="{FF2B5EF4-FFF2-40B4-BE49-F238E27FC236}">
              <a16:creationId xmlns:a16="http://schemas.microsoft.com/office/drawing/2014/main" id="{B079441B-736C-43DC-B575-7CDEAB4A993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3" name="CaixaDeTexto 1442">
          <a:extLst>
            <a:ext uri="{FF2B5EF4-FFF2-40B4-BE49-F238E27FC236}">
              <a16:creationId xmlns:a16="http://schemas.microsoft.com/office/drawing/2014/main" id="{340B5255-BCB7-44E7-B1B3-9498CDA4AA7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4" name="CaixaDeTexto 1443">
          <a:extLst>
            <a:ext uri="{FF2B5EF4-FFF2-40B4-BE49-F238E27FC236}">
              <a16:creationId xmlns:a16="http://schemas.microsoft.com/office/drawing/2014/main" id="{12024413-2F22-4D4E-9436-FC19F9F2083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5" name="CaixaDeTexto 1444">
          <a:extLst>
            <a:ext uri="{FF2B5EF4-FFF2-40B4-BE49-F238E27FC236}">
              <a16:creationId xmlns:a16="http://schemas.microsoft.com/office/drawing/2014/main" id="{C36BBE23-96E1-457F-93D2-83EFDDB868D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6" name="CaixaDeTexto 1445">
          <a:extLst>
            <a:ext uri="{FF2B5EF4-FFF2-40B4-BE49-F238E27FC236}">
              <a16:creationId xmlns:a16="http://schemas.microsoft.com/office/drawing/2014/main" id="{D1C59902-11C1-4659-9F88-71A58A039E8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7" name="CaixaDeTexto 1446">
          <a:extLst>
            <a:ext uri="{FF2B5EF4-FFF2-40B4-BE49-F238E27FC236}">
              <a16:creationId xmlns:a16="http://schemas.microsoft.com/office/drawing/2014/main" id="{102217EF-C76A-44C2-BB2D-0470AE2B9DC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8" name="CaixaDeTexto 1447">
          <a:extLst>
            <a:ext uri="{FF2B5EF4-FFF2-40B4-BE49-F238E27FC236}">
              <a16:creationId xmlns:a16="http://schemas.microsoft.com/office/drawing/2014/main" id="{C9BB28C2-5B80-4A87-ADD8-ECA47B56982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49" name="CaixaDeTexto 1448">
          <a:extLst>
            <a:ext uri="{FF2B5EF4-FFF2-40B4-BE49-F238E27FC236}">
              <a16:creationId xmlns:a16="http://schemas.microsoft.com/office/drawing/2014/main" id="{999053DB-DF00-4445-88D4-A13CBD03C15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0" name="CaixaDeTexto 1449">
          <a:extLst>
            <a:ext uri="{FF2B5EF4-FFF2-40B4-BE49-F238E27FC236}">
              <a16:creationId xmlns:a16="http://schemas.microsoft.com/office/drawing/2014/main" id="{F420A884-61E8-4339-899B-372096DD2A8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1" name="CaixaDeTexto 1450">
          <a:extLst>
            <a:ext uri="{FF2B5EF4-FFF2-40B4-BE49-F238E27FC236}">
              <a16:creationId xmlns:a16="http://schemas.microsoft.com/office/drawing/2014/main" id="{42002C5E-0AE2-4089-B0B7-586C66BE4D3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2" name="CaixaDeTexto 1451">
          <a:extLst>
            <a:ext uri="{FF2B5EF4-FFF2-40B4-BE49-F238E27FC236}">
              <a16:creationId xmlns:a16="http://schemas.microsoft.com/office/drawing/2014/main" id="{0018027F-2359-4406-B5EC-B58AF97885C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3" name="CaixaDeTexto 1452">
          <a:extLst>
            <a:ext uri="{FF2B5EF4-FFF2-40B4-BE49-F238E27FC236}">
              <a16:creationId xmlns:a16="http://schemas.microsoft.com/office/drawing/2014/main" id="{053FF435-D573-4884-8FBC-63BF83E2B34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4" name="CaixaDeTexto 1453">
          <a:extLst>
            <a:ext uri="{FF2B5EF4-FFF2-40B4-BE49-F238E27FC236}">
              <a16:creationId xmlns:a16="http://schemas.microsoft.com/office/drawing/2014/main" id="{B642B204-4FDE-42DB-B083-7419CA82810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5" name="CaixaDeTexto 1454">
          <a:extLst>
            <a:ext uri="{FF2B5EF4-FFF2-40B4-BE49-F238E27FC236}">
              <a16:creationId xmlns:a16="http://schemas.microsoft.com/office/drawing/2014/main" id="{2537B3E0-2216-4667-AA82-95A037B473C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6" name="CaixaDeTexto 1455">
          <a:extLst>
            <a:ext uri="{FF2B5EF4-FFF2-40B4-BE49-F238E27FC236}">
              <a16:creationId xmlns:a16="http://schemas.microsoft.com/office/drawing/2014/main" id="{ABBDDE54-0EA9-43ED-B6E3-167DE94C3AA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7" name="CaixaDeTexto 1456">
          <a:extLst>
            <a:ext uri="{FF2B5EF4-FFF2-40B4-BE49-F238E27FC236}">
              <a16:creationId xmlns:a16="http://schemas.microsoft.com/office/drawing/2014/main" id="{87137852-EBEC-4249-B907-5716FD24F8B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8" name="CaixaDeTexto 1457">
          <a:extLst>
            <a:ext uri="{FF2B5EF4-FFF2-40B4-BE49-F238E27FC236}">
              <a16:creationId xmlns:a16="http://schemas.microsoft.com/office/drawing/2014/main" id="{69ABA271-C32E-4928-9589-374B3A8D11E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59" name="CaixaDeTexto 1458">
          <a:extLst>
            <a:ext uri="{FF2B5EF4-FFF2-40B4-BE49-F238E27FC236}">
              <a16:creationId xmlns:a16="http://schemas.microsoft.com/office/drawing/2014/main" id="{E61E0A87-CC40-429C-8DC8-3E651FA9B00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60" name="CaixaDeTexto 1459">
          <a:extLst>
            <a:ext uri="{FF2B5EF4-FFF2-40B4-BE49-F238E27FC236}">
              <a16:creationId xmlns:a16="http://schemas.microsoft.com/office/drawing/2014/main" id="{A705B6A7-359D-4810-BD09-3F6DFFAFFFD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61" name="CaixaDeTexto 1460">
          <a:extLst>
            <a:ext uri="{FF2B5EF4-FFF2-40B4-BE49-F238E27FC236}">
              <a16:creationId xmlns:a16="http://schemas.microsoft.com/office/drawing/2014/main" id="{A54C5D3F-D26C-4EAA-9534-1EC206C8FD4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62" name="CaixaDeTexto 1461">
          <a:extLst>
            <a:ext uri="{FF2B5EF4-FFF2-40B4-BE49-F238E27FC236}">
              <a16:creationId xmlns:a16="http://schemas.microsoft.com/office/drawing/2014/main" id="{36588870-97FF-4DE7-806D-7DB364EACF2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63" name="CaixaDeTexto 1462">
          <a:extLst>
            <a:ext uri="{FF2B5EF4-FFF2-40B4-BE49-F238E27FC236}">
              <a16:creationId xmlns:a16="http://schemas.microsoft.com/office/drawing/2014/main" id="{60996688-B085-4F14-961B-062CF6B4BDB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64" name="CaixaDeTexto 1463">
          <a:extLst>
            <a:ext uri="{FF2B5EF4-FFF2-40B4-BE49-F238E27FC236}">
              <a16:creationId xmlns:a16="http://schemas.microsoft.com/office/drawing/2014/main" id="{74FC4B11-5F6E-488A-906C-7E05B9974F3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65" name="CaixaDeTexto 1464">
          <a:extLst>
            <a:ext uri="{FF2B5EF4-FFF2-40B4-BE49-F238E27FC236}">
              <a16:creationId xmlns:a16="http://schemas.microsoft.com/office/drawing/2014/main" id="{94EF0A95-1503-4436-9E50-C8239D5ADCE2}"/>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66" name="CaixaDeTexto 1465">
          <a:extLst>
            <a:ext uri="{FF2B5EF4-FFF2-40B4-BE49-F238E27FC236}">
              <a16:creationId xmlns:a16="http://schemas.microsoft.com/office/drawing/2014/main" id="{77D5856F-9D89-4AB2-94C9-C88F4CC0324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67" name="CaixaDeTexto 1466">
          <a:extLst>
            <a:ext uri="{FF2B5EF4-FFF2-40B4-BE49-F238E27FC236}">
              <a16:creationId xmlns:a16="http://schemas.microsoft.com/office/drawing/2014/main" id="{32BEBA1C-4FAD-4E4F-B4EA-EA76CC65D28F}"/>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68" name="CaixaDeTexto 1467">
          <a:extLst>
            <a:ext uri="{FF2B5EF4-FFF2-40B4-BE49-F238E27FC236}">
              <a16:creationId xmlns:a16="http://schemas.microsoft.com/office/drawing/2014/main" id="{69E88178-65D9-4D65-949D-57C42035F26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69" name="CaixaDeTexto 1468">
          <a:extLst>
            <a:ext uri="{FF2B5EF4-FFF2-40B4-BE49-F238E27FC236}">
              <a16:creationId xmlns:a16="http://schemas.microsoft.com/office/drawing/2014/main" id="{B68FC54B-EF0C-43ED-AFED-2029FE13AEB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0" name="CaixaDeTexto 1469">
          <a:extLst>
            <a:ext uri="{FF2B5EF4-FFF2-40B4-BE49-F238E27FC236}">
              <a16:creationId xmlns:a16="http://schemas.microsoft.com/office/drawing/2014/main" id="{E19500A1-1185-48C8-A8AF-96C4F8904375}"/>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1" name="CaixaDeTexto 1470">
          <a:extLst>
            <a:ext uri="{FF2B5EF4-FFF2-40B4-BE49-F238E27FC236}">
              <a16:creationId xmlns:a16="http://schemas.microsoft.com/office/drawing/2014/main" id="{F462AD46-B98A-4217-BB57-351B5853D963}"/>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2" name="CaixaDeTexto 1471">
          <a:extLst>
            <a:ext uri="{FF2B5EF4-FFF2-40B4-BE49-F238E27FC236}">
              <a16:creationId xmlns:a16="http://schemas.microsoft.com/office/drawing/2014/main" id="{F30D6B79-69B2-4830-90EC-FFFC8F24D0C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3" name="CaixaDeTexto 1472">
          <a:extLst>
            <a:ext uri="{FF2B5EF4-FFF2-40B4-BE49-F238E27FC236}">
              <a16:creationId xmlns:a16="http://schemas.microsoft.com/office/drawing/2014/main" id="{97E1429E-0C27-4A8D-95D8-8FEDE8E3AC43}"/>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488</xdr:row>
      <xdr:rowOff>0</xdr:rowOff>
    </xdr:from>
    <xdr:ext cx="184731" cy="264560"/>
    <xdr:sp macro="" textlink="">
      <xdr:nvSpPr>
        <xdr:cNvPr id="1474" name="CaixaDeTexto 1473">
          <a:extLst>
            <a:ext uri="{FF2B5EF4-FFF2-40B4-BE49-F238E27FC236}">
              <a16:creationId xmlns:a16="http://schemas.microsoft.com/office/drawing/2014/main" id="{9067CEF6-3CCC-4378-ABBA-B409EE28437F}"/>
            </a:ext>
          </a:extLst>
        </xdr:cNvPr>
        <xdr:cNvSpPr txBox="1"/>
      </xdr:nvSpPr>
      <xdr:spPr>
        <a:xfrm>
          <a:off x="5275157" y="977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5" name="CaixaDeTexto 1474">
          <a:extLst>
            <a:ext uri="{FF2B5EF4-FFF2-40B4-BE49-F238E27FC236}">
              <a16:creationId xmlns:a16="http://schemas.microsoft.com/office/drawing/2014/main" id="{10F504F4-6558-470C-BE3C-0E795359B9CA}"/>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476" name="CaixaDeTexto 1475">
          <a:extLst>
            <a:ext uri="{FF2B5EF4-FFF2-40B4-BE49-F238E27FC236}">
              <a16:creationId xmlns:a16="http://schemas.microsoft.com/office/drawing/2014/main" id="{A7831821-03C4-4B7E-B9B3-69D6F337D8BD}"/>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7" name="CaixaDeTexto 1476">
          <a:extLst>
            <a:ext uri="{FF2B5EF4-FFF2-40B4-BE49-F238E27FC236}">
              <a16:creationId xmlns:a16="http://schemas.microsoft.com/office/drawing/2014/main" id="{9A565540-D692-4270-B613-4F49414FA0E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8" name="CaixaDeTexto 1477">
          <a:extLst>
            <a:ext uri="{FF2B5EF4-FFF2-40B4-BE49-F238E27FC236}">
              <a16:creationId xmlns:a16="http://schemas.microsoft.com/office/drawing/2014/main" id="{9785E251-A995-4109-A2AE-35202F287CF8}"/>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79" name="CaixaDeTexto 1478">
          <a:extLst>
            <a:ext uri="{FF2B5EF4-FFF2-40B4-BE49-F238E27FC236}">
              <a16:creationId xmlns:a16="http://schemas.microsoft.com/office/drawing/2014/main" id="{7DD35C99-603E-478B-9995-A35A8174F75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80" name="CaixaDeTexto 1479">
          <a:extLst>
            <a:ext uri="{FF2B5EF4-FFF2-40B4-BE49-F238E27FC236}">
              <a16:creationId xmlns:a16="http://schemas.microsoft.com/office/drawing/2014/main" id="{2AAE02C3-8301-44C6-939E-67E52A048E85}"/>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81" name="CaixaDeTexto 1480">
          <a:extLst>
            <a:ext uri="{FF2B5EF4-FFF2-40B4-BE49-F238E27FC236}">
              <a16:creationId xmlns:a16="http://schemas.microsoft.com/office/drawing/2014/main" id="{4FDE70C8-4490-46E6-B1A2-AFBD1C161E9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82" name="CaixaDeTexto 1481">
          <a:extLst>
            <a:ext uri="{FF2B5EF4-FFF2-40B4-BE49-F238E27FC236}">
              <a16:creationId xmlns:a16="http://schemas.microsoft.com/office/drawing/2014/main" id="{E6E99F35-2F02-4FA3-93D2-A157965364D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83" name="CaixaDeTexto 1482">
          <a:extLst>
            <a:ext uri="{FF2B5EF4-FFF2-40B4-BE49-F238E27FC236}">
              <a16:creationId xmlns:a16="http://schemas.microsoft.com/office/drawing/2014/main" id="{7C22F94E-6F50-4460-AA6A-44FECF80992A}"/>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84" name="CaixaDeTexto 1483">
          <a:extLst>
            <a:ext uri="{FF2B5EF4-FFF2-40B4-BE49-F238E27FC236}">
              <a16:creationId xmlns:a16="http://schemas.microsoft.com/office/drawing/2014/main" id="{6B862513-8F72-4DE2-93FE-A09C537116A5}"/>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485" name="CaixaDeTexto 1484">
          <a:extLst>
            <a:ext uri="{FF2B5EF4-FFF2-40B4-BE49-F238E27FC236}">
              <a16:creationId xmlns:a16="http://schemas.microsoft.com/office/drawing/2014/main" id="{7884C1FC-9E86-4F5C-8E4D-D32F774043E5}"/>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86" name="CaixaDeTexto 1485">
          <a:extLst>
            <a:ext uri="{FF2B5EF4-FFF2-40B4-BE49-F238E27FC236}">
              <a16:creationId xmlns:a16="http://schemas.microsoft.com/office/drawing/2014/main" id="{6028A7F8-76EB-4CFB-BD38-DB0FB92EEC0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87" name="CaixaDeTexto 1486">
          <a:extLst>
            <a:ext uri="{FF2B5EF4-FFF2-40B4-BE49-F238E27FC236}">
              <a16:creationId xmlns:a16="http://schemas.microsoft.com/office/drawing/2014/main" id="{E36669FD-6426-4F1B-9593-6CB7FE5912DB}"/>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488" name="CaixaDeTexto 1487">
          <a:extLst>
            <a:ext uri="{FF2B5EF4-FFF2-40B4-BE49-F238E27FC236}">
              <a16:creationId xmlns:a16="http://schemas.microsoft.com/office/drawing/2014/main" id="{B9E8FB36-F437-4DED-9D00-D840607AB35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89" name="CaixaDeTexto 1488">
          <a:extLst>
            <a:ext uri="{FF2B5EF4-FFF2-40B4-BE49-F238E27FC236}">
              <a16:creationId xmlns:a16="http://schemas.microsoft.com/office/drawing/2014/main" id="{6434B77E-6001-466C-893F-AFDD04A126E1}"/>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90" name="CaixaDeTexto 1489">
          <a:extLst>
            <a:ext uri="{FF2B5EF4-FFF2-40B4-BE49-F238E27FC236}">
              <a16:creationId xmlns:a16="http://schemas.microsoft.com/office/drawing/2014/main" id="{E92F1894-35EC-48BF-A6A7-362AEA167E61}"/>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91" name="CaixaDeTexto 1490">
          <a:extLst>
            <a:ext uri="{FF2B5EF4-FFF2-40B4-BE49-F238E27FC236}">
              <a16:creationId xmlns:a16="http://schemas.microsoft.com/office/drawing/2014/main" id="{AF7AAEA9-EE19-44C6-85F6-34BF69F05B09}"/>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92" name="CaixaDeTexto 1491">
          <a:extLst>
            <a:ext uri="{FF2B5EF4-FFF2-40B4-BE49-F238E27FC236}">
              <a16:creationId xmlns:a16="http://schemas.microsoft.com/office/drawing/2014/main" id="{4E16731B-3C9B-4335-8B78-745DCEF1A5F8}"/>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93" name="CaixaDeTexto 1492">
          <a:extLst>
            <a:ext uri="{FF2B5EF4-FFF2-40B4-BE49-F238E27FC236}">
              <a16:creationId xmlns:a16="http://schemas.microsoft.com/office/drawing/2014/main" id="{5D0B1BC6-6E07-4C4D-BFCC-ACFB17337357}"/>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94" name="CaixaDeTexto 1493">
          <a:extLst>
            <a:ext uri="{FF2B5EF4-FFF2-40B4-BE49-F238E27FC236}">
              <a16:creationId xmlns:a16="http://schemas.microsoft.com/office/drawing/2014/main" id="{AA59F927-A417-4A04-AADE-1B5CB85D2549}"/>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1495" name="CaixaDeTexto 1494">
          <a:extLst>
            <a:ext uri="{FF2B5EF4-FFF2-40B4-BE49-F238E27FC236}">
              <a16:creationId xmlns:a16="http://schemas.microsoft.com/office/drawing/2014/main" id="{EDB7757C-8E17-4BCC-8EF2-B51910FCF1F9}"/>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96" name="CaixaDeTexto 1495">
          <a:extLst>
            <a:ext uri="{FF2B5EF4-FFF2-40B4-BE49-F238E27FC236}">
              <a16:creationId xmlns:a16="http://schemas.microsoft.com/office/drawing/2014/main" id="{D3409806-216A-455F-B54D-486B14D30F8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497" name="CaixaDeTexto 1496">
          <a:extLst>
            <a:ext uri="{FF2B5EF4-FFF2-40B4-BE49-F238E27FC236}">
              <a16:creationId xmlns:a16="http://schemas.microsoft.com/office/drawing/2014/main" id="{83523455-3738-41A6-B070-C0C7E78DFBB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498" name="CaixaDeTexto 1497">
          <a:extLst>
            <a:ext uri="{FF2B5EF4-FFF2-40B4-BE49-F238E27FC236}">
              <a16:creationId xmlns:a16="http://schemas.microsoft.com/office/drawing/2014/main" id="{B11A4E27-CE93-432F-AB9D-15D6FDB8A6A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499" name="CaixaDeTexto 1498">
          <a:extLst>
            <a:ext uri="{FF2B5EF4-FFF2-40B4-BE49-F238E27FC236}">
              <a16:creationId xmlns:a16="http://schemas.microsoft.com/office/drawing/2014/main" id="{987A15E3-D2F2-4549-8AA2-D2A558833DC4}"/>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0" name="CaixaDeTexto 1499">
          <a:extLst>
            <a:ext uri="{FF2B5EF4-FFF2-40B4-BE49-F238E27FC236}">
              <a16:creationId xmlns:a16="http://schemas.microsoft.com/office/drawing/2014/main" id="{F20F7D58-1107-4B17-BDEE-3631D9DDC46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1" name="CaixaDeTexto 1500">
          <a:extLst>
            <a:ext uri="{FF2B5EF4-FFF2-40B4-BE49-F238E27FC236}">
              <a16:creationId xmlns:a16="http://schemas.microsoft.com/office/drawing/2014/main" id="{C8377488-EDB7-4A3A-8B53-4A501C1D19F2}"/>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2" name="CaixaDeTexto 1501">
          <a:extLst>
            <a:ext uri="{FF2B5EF4-FFF2-40B4-BE49-F238E27FC236}">
              <a16:creationId xmlns:a16="http://schemas.microsoft.com/office/drawing/2014/main" id="{94F16FDC-19A7-44DE-B808-731399E1C51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3" name="CaixaDeTexto 1502">
          <a:extLst>
            <a:ext uri="{FF2B5EF4-FFF2-40B4-BE49-F238E27FC236}">
              <a16:creationId xmlns:a16="http://schemas.microsoft.com/office/drawing/2014/main" id="{0C37ED09-48BB-49C5-9BF9-AD80168D2447}"/>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4" name="CaixaDeTexto 1503">
          <a:extLst>
            <a:ext uri="{FF2B5EF4-FFF2-40B4-BE49-F238E27FC236}">
              <a16:creationId xmlns:a16="http://schemas.microsoft.com/office/drawing/2014/main" id="{1C6850A1-8B21-4CA4-85AE-038970D9F45C}"/>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5" name="CaixaDeTexto 1504">
          <a:extLst>
            <a:ext uri="{FF2B5EF4-FFF2-40B4-BE49-F238E27FC236}">
              <a16:creationId xmlns:a16="http://schemas.microsoft.com/office/drawing/2014/main" id="{65DF4EAD-406A-4247-BF1C-BFCEC34B961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506" name="CaixaDeTexto 1505">
          <a:extLst>
            <a:ext uri="{FF2B5EF4-FFF2-40B4-BE49-F238E27FC236}">
              <a16:creationId xmlns:a16="http://schemas.microsoft.com/office/drawing/2014/main" id="{3F61772E-35C0-464E-80A8-F91B742CA07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7" name="CaixaDeTexto 1506">
          <a:extLst>
            <a:ext uri="{FF2B5EF4-FFF2-40B4-BE49-F238E27FC236}">
              <a16:creationId xmlns:a16="http://schemas.microsoft.com/office/drawing/2014/main" id="{24B06F3A-7B22-4065-922D-2714242DAFD6}"/>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508" name="CaixaDeTexto 1507">
          <a:extLst>
            <a:ext uri="{FF2B5EF4-FFF2-40B4-BE49-F238E27FC236}">
              <a16:creationId xmlns:a16="http://schemas.microsoft.com/office/drawing/2014/main" id="{9094CBEB-587A-44C7-82E0-36E90FEC6221}"/>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09" name="CaixaDeTexto 1508">
          <a:extLst>
            <a:ext uri="{FF2B5EF4-FFF2-40B4-BE49-F238E27FC236}">
              <a16:creationId xmlns:a16="http://schemas.microsoft.com/office/drawing/2014/main" id="{D9907D78-016D-4D88-B194-04DFEB074969}"/>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0" name="CaixaDeTexto 1509">
          <a:extLst>
            <a:ext uri="{FF2B5EF4-FFF2-40B4-BE49-F238E27FC236}">
              <a16:creationId xmlns:a16="http://schemas.microsoft.com/office/drawing/2014/main" id="{C5CE50CA-5B2D-4B32-8E95-329466103F40}"/>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1" name="CaixaDeTexto 1510">
          <a:extLst>
            <a:ext uri="{FF2B5EF4-FFF2-40B4-BE49-F238E27FC236}">
              <a16:creationId xmlns:a16="http://schemas.microsoft.com/office/drawing/2014/main" id="{23E70F85-CDD4-4770-B3DE-37507CCFB9E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2" name="CaixaDeTexto 1511">
          <a:extLst>
            <a:ext uri="{FF2B5EF4-FFF2-40B4-BE49-F238E27FC236}">
              <a16:creationId xmlns:a16="http://schemas.microsoft.com/office/drawing/2014/main" id="{770EF96D-06BA-4AB9-92C6-B52FA1FD1467}"/>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3" name="CaixaDeTexto 1512">
          <a:extLst>
            <a:ext uri="{FF2B5EF4-FFF2-40B4-BE49-F238E27FC236}">
              <a16:creationId xmlns:a16="http://schemas.microsoft.com/office/drawing/2014/main" id="{B0F5CE67-0475-40C2-83B1-3B3F02E241E3}"/>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4" name="CaixaDeTexto 1513">
          <a:extLst>
            <a:ext uri="{FF2B5EF4-FFF2-40B4-BE49-F238E27FC236}">
              <a16:creationId xmlns:a16="http://schemas.microsoft.com/office/drawing/2014/main" id="{216227A4-E6C1-4781-A364-685414365274}"/>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5" name="CaixaDeTexto 1514">
          <a:extLst>
            <a:ext uri="{FF2B5EF4-FFF2-40B4-BE49-F238E27FC236}">
              <a16:creationId xmlns:a16="http://schemas.microsoft.com/office/drawing/2014/main" id="{4295AB9E-4220-4BBB-994D-46ADF0E718C7}"/>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516" name="CaixaDeTexto 1515">
          <a:extLst>
            <a:ext uri="{FF2B5EF4-FFF2-40B4-BE49-F238E27FC236}">
              <a16:creationId xmlns:a16="http://schemas.microsoft.com/office/drawing/2014/main" id="{DF160FCF-C381-4EF7-A4DD-2D5F31BCC425}"/>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7" name="CaixaDeTexto 1516">
          <a:extLst>
            <a:ext uri="{FF2B5EF4-FFF2-40B4-BE49-F238E27FC236}">
              <a16:creationId xmlns:a16="http://schemas.microsoft.com/office/drawing/2014/main" id="{19EDF468-9A4B-41D7-9618-6063E401F33B}"/>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1518" name="CaixaDeTexto 1517">
          <a:extLst>
            <a:ext uri="{FF2B5EF4-FFF2-40B4-BE49-F238E27FC236}">
              <a16:creationId xmlns:a16="http://schemas.microsoft.com/office/drawing/2014/main" id="{13364861-05D0-4C86-864C-EA01F036CC2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19" name="CaixaDeTexto 1518">
          <a:extLst>
            <a:ext uri="{FF2B5EF4-FFF2-40B4-BE49-F238E27FC236}">
              <a16:creationId xmlns:a16="http://schemas.microsoft.com/office/drawing/2014/main" id="{0D0C5D52-F18A-4F80-AB35-B046FEAE891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20" name="CaixaDeTexto 1519">
          <a:extLst>
            <a:ext uri="{FF2B5EF4-FFF2-40B4-BE49-F238E27FC236}">
              <a16:creationId xmlns:a16="http://schemas.microsoft.com/office/drawing/2014/main" id="{DF761AA6-F98B-48BB-BF83-09DFD5472C0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21" name="CaixaDeTexto 1520">
          <a:extLst>
            <a:ext uri="{FF2B5EF4-FFF2-40B4-BE49-F238E27FC236}">
              <a16:creationId xmlns:a16="http://schemas.microsoft.com/office/drawing/2014/main" id="{D8AC3117-9BF7-4DD2-9DDE-0647E9DD8441}"/>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22" name="CaixaDeTexto 1521">
          <a:extLst>
            <a:ext uri="{FF2B5EF4-FFF2-40B4-BE49-F238E27FC236}">
              <a16:creationId xmlns:a16="http://schemas.microsoft.com/office/drawing/2014/main" id="{1DA38D7C-F9FA-43F5-B0ED-1466F204086C}"/>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23" name="CaixaDeTexto 1522">
          <a:extLst>
            <a:ext uri="{FF2B5EF4-FFF2-40B4-BE49-F238E27FC236}">
              <a16:creationId xmlns:a16="http://schemas.microsoft.com/office/drawing/2014/main" id="{20E701D8-35FA-4771-B6F2-6768D5E2AF5D}"/>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24" name="CaixaDeTexto 1523">
          <a:extLst>
            <a:ext uri="{FF2B5EF4-FFF2-40B4-BE49-F238E27FC236}">
              <a16:creationId xmlns:a16="http://schemas.microsoft.com/office/drawing/2014/main" id="{40B8D9D8-F254-4CFB-85D0-DA7A8A10E69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1525" name="CaixaDeTexto 1524">
          <a:extLst>
            <a:ext uri="{FF2B5EF4-FFF2-40B4-BE49-F238E27FC236}">
              <a16:creationId xmlns:a16="http://schemas.microsoft.com/office/drawing/2014/main" id="{F718ED17-32F6-4689-8F76-320FAE420D9D}"/>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26" name="CaixaDeTexto 1525">
          <a:extLst>
            <a:ext uri="{FF2B5EF4-FFF2-40B4-BE49-F238E27FC236}">
              <a16:creationId xmlns:a16="http://schemas.microsoft.com/office/drawing/2014/main" id="{CEFFCF64-D068-4EC6-8117-A3CC34C6F9B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27" name="CaixaDeTexto 1526">
          <a:extLst>
            <a:ext uri="{FF2B5EF4-FFF2-40B4-BE49-F238E27FC236}">
              <a16:creationId xmlns:a16="http://schemas.microsoft.com/office/drawing/2014/main" id="{76BB7DB2-425A-419E-BDB1-D13CA92FA5F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28" name="CaixaDeTexto 1527">
          <a:extLst>
            <a:ext uri="{FF2B5EF4-FFF2-40B4-BE49-F238E27FC236}">
              <a16:creationId xmlns:a16="http://schemas.microsoft.com/office/drawing/2014/main" id="{740B6D06-D8F7-44B2-B2D2-454DF47E653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29" name="CaixaDeTexto 1528">
          <a:extLst>
            <a:ext uri="{FF2B5EF4-FFF2-40B4-BE49-F238E27FC236}">
              <a16:creationId xmlns:a16="http://schemas.microsoft.com/office/drawing/2014/main" id="{05EAAD67-4883-425C-8FC0-D4D6702C3A3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0" name="CaixaDeTexto 1529">
          <a:extLst>
            <a:ext uri="{FF2B5EF4-FFF2-40B4-BE49-F238E27FC236}">
              <a16:creationId xmlns:a16="http://schemas.microsoft.com/office/drawing/2014/main" id="{36F4D4C1-988F-48D8-BD14-4EC9A0A1361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1" name="CaixaDeTexto 1530">
          <a:extLst>
            <a:ext uri="{FF2B5EF4-FFF2-40B4-BE49-F238E27FC236}">
              <a16:creationId xmlns:a16="http://schemas.microsoft.com/office/drawing/2014/main" id="{29047614-66DC-4DAA-945A-78A4E2FBB64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2" name="CaixaDeTexto 1531">
          <a:extLst>
            <a:ext uri="{FF2B5EF4-FFF2-40B4-BE49-F238E27FC236}">
              <a16:creationId xmlns:a16="http://schemas.microsoft.com/office/drawing/2014/main" id="{4AF32A19-F26C-4D35-A53E-0246BFD700B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3" name="CaixaDeTexto 1532">
          <a:extLst>
            <a:ext uri="{FF2B5EF4-FFF2-40B4-BE49-F238E27FC236}">
              <a16:creationId xmlns:a16="http://schemas.microsoft.com/office/drawing/2014/main" id="{BD5FE8A6-34D7-4240-AD19-2F9905EA265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4" name="CaixaDeTexto 1533">
          <a:extLst>
            <a:ext uri="{FF2B5EF4-FFF2-40B4-BE49-F238E27FC236}">
              <a16:creationId xmlns:a16="http://schemas.microsoft.com/office/drawing/2014/main" id="{AE28DD95-3909-4F4B-895C-385FBD90CC2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5" name="CaixaDeTexto 1534">
          <a:extLst>
            <a:ext uri="{FF2B5EF4-FFF2-40B4-BE49-F238E27FC236}">
              <a16:creationId xmlns:a16="http://schemas.microsoft.com/office/drawing/2014/main" id="{1156CF2C-0DA3-4A46-A08A-B71C3522468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6" name="CaixaDeTexto 1535">
          <a:extLst>
            <a:ext uri="{FF2B5EF4-FFF2-40B4-BE49-F238E27FC236}">
              <a16:creationId xmlns:a16="http://schemas.microsoft.com/office/drawing/2014/main" id="{D2ED271E-8465-48F2-8BC5-69B40D900CE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7" name="CaixaDeTexto 1536">
          <a:extLst>
            <a:ext uri="{FF2B5EF4-FFF2-40B4-BE49-F238E27FC236}">
              <a16:creationId xmlns:a16="http://schemas.microsoft.com/office/drawing/2014/main" id="{534854DE-ECB9-4B52-816B-B44531CDC8B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8" name="CaixaDeTexto 1537">
          <a:extLst>
            <a:ext uri="{FF2B5EF4-FFF2-40B4-BE49-F238E27FC236}">
              <a16:creationId xmlns:a16="http://schemas.microsoft.com/office/drawing/2014/main" id="{B5AF38A9-7720-4063-865B-4A178714F93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39" name="CaixaDeTexto 1538">
          <a:extLst>
            <a:ext uri="{FF2B5EF4-FFF2-40B4-BE49-F238E27FC236}">
              <a16:creationId xmlns:a16="http://schemas.microsoft.com/office/drawing/2014/main" id="{5DF34670-5660-4416-85F9-BA957AB8BD7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0" name="CaixaDeTexto 1539">
          <a:extLst>
            <a:ext uri="{FF2B5EF4-FFF2-40B4-BE49-F238E27FC236}">
              <a16:creationId xmlns:a16="http://schemas.microsoft.com/office/drawing/2014/main" id="{450E4CFE-C1D8-4727-B0F0-6C172E6486A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1" name="CaixaDeTexto 1540">
          <a:extLst>
            <a:ext uri="{FF2B5EF4-FFF2-40B4-BE49-F238E27FC236}">
              <a16:creationId xmlns:a16="http://schemas.microsoft.com/office/drawing/2014/main" id="{C6157E41-8C59-441D-9DEF-37477B8DE7A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2" name="CaixaDeTexto 1541">
          <a:extLst>
            <a:ext uri="{FF2B5EF4-FFF2-40B4-BE49-F238E27FC236}">
              <a16:creationId xmlns:a16="http://schemas.microsoft.com/office/drawing/2014/main" id="{8E53EA51-E56F-492F-B9FB-130D3F9AF41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3" name="CaixaDeTexto 1542">
          <a:extLst>
            <a:ext uri="{FF2B5EF4-FFF2-40B4-BE49-F238E27FC236}">
              <a16:creationId xmlns:a16="http://schemas.microsoft.com/office/drawing/2014/main" id="{EA056DDF-7C06-434B-98C7-022648D686F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4" name="CaixaDeTexto 1543">
          <a:extLst>
            <a:ext uri="{FF2B5EF4-FFF2-40B4-BE49-F238E27FC236}">
              <a16:creationId xmlns:a16="http://schemas.microsoft.com/office/drawing/2014/main" id="{1AB3DFA4-52E1-4B10-8496-E78CB2CB0D8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5" name="CaixaDeTexto 1544">
          <a:extLst>
            <a:ext uri="{FF2B5EF4-FFF2-40B4-BE49-F238E27FC236}">
              <a16:creationId xmlns:a16="http://schemas.microsoft.com/office/drawing/2014/main" id="{59AE19CE-2486-4C96-8216-B977090732A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6" name="CaixaDeTexto 1545">
          <a:extLst>
            <a:ext uri="{FF2B5EF4-FFF2-40B4-BE49-F238E27FC236}">
              <a16:creationId xmlns:a16="http://schemas.microsoft.com/office/drawing/2014/main" id="{ED0D3C88-D1C5-44B1-BEBC-48C8D076B93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7" name="CaixaDeTexto 1546">
          <a:extLst>
            <a:ext uri="{FF2B5EF4-FFF2-40B4-BE49-F238E27FC236}">
              <a16:creationId xmlns:a16="http://schemas.microsoft.com/office/drawing/2014/main" id="{1D2A08E3-6CE1-4959-AE74-0939DBA6308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8" name="CaixaDeTexto 1547">
          <a:extLst>
            <a:ext uri="{FF2B5EF4-FFF2-40B4-BE49-F238E27FC236}">
              <a16:creationId xmlns:a16="http://schemas.microsoft.com/office/drawing/2014/main" id="{9642B9CE-BC84-49C7-9E87-D494E236328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49" name="CaixaDeTexto 1548">
          <a:extLst>
            <a:ext uri="{FF2B5EF4-FFF2-40B4-BE49-F238E27FC236}">
              <a16:creationId xmlns:a16="http://schemas.microsoft.com/office/drawing/2014/main" id="{DB32B0DC-ADA5-4350-97B4-2B68F8F3EA7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0" name="CaixaDeTexto 1549">
          <a:extLst>
            <a:ext uri="{FF2B5EF4-FFF2-40B4-BE49-F238E27FC236}">
              <a16:creationId xmlns:a16="http://schemas.microsoft.com/office/drawing/2014/main" id="{C3358480-D803-4BEE-BEDF-20066AA3063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1" name="CaixaDeTexto 1550">
          <a:extLst>
            <a:ext uri="{FF2B5EF4-FFF2-40B4-BE49-F238E27FC236}">
              <a16:creationId xmlns:a16="http://schemas.microsoft.com/office/drawing/2014/main" id="{8F0605F3-9910-4534-8BBB-68C77272C5E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2" name="CaixaDeTexto 1551">
          <a:extLst>
            <a:ext uri="{FF2B5EF4-FFF2-40B4-BE49-F238E27FC236}">
              <a16:creationId xmlns:a16="http://schemas.microsoft.com/office/drawing/2014/main" id="{B9EDAC76-D96D-45FC-97E1-F3D8B6960E5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3" name="CaixaDeTexto 1552">
          <a:extLst>
            <a:ext uri="{FF2B5EF4-FFF2-40B4-BE49-F238E27FC236}">
              <a16:creationId xmlns:a16="http://schemas.microsoft.com/office/drawing/2014/main" id="{01B006C4-1A97-435B-ACE7-192F24798B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4" name="CaixaDeTexto 1553">
          <a:extLst>
            <a:ext uri="{FF2B5EF4-FFF2-40B4-BE49-F238E27FC236}">
              <a16:creationId xmlns:a16="http://schemas.microsoft.com/office/drawing/2014/main" id="{8C078BBE-F9A7-49F9-AFFA-29801CB60F1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5" name="CaixaDeTexto 1554">
          <a:extLst>
            <a:ext uri="{FF2B5EF4-FFF2-40B4-BE49-F238E27FC236}">
              <a16:creationId xmlns:a16="http://schemas.microsoft.com/office/drawing/2014/main" id="{AB0E88E5-8A63-4BD2-A1EF-0D718E24D98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6" name="CaixaDeTexto 1555">
          <a:extLst>
            <a:ext uri="{FF2B5EF4-FFF2-40B4-BE49-F238E27FC236}">
              <a16:creationId xmlns:a16="http://schemas.microsoft.com/office/drawing/2014/main" id="{E4B04BAB-02BF-4B9D-AA82-2C05F73A96F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7" name="CaixaDeTexto 1556">
          <a:extLst>
            <a:ext uri="{FF2B5EF4-FFF2-40B4-BE49-F238E27FC236}">
              <a16:creationId xmlns:a16="http://schemas.microsoft.com/office/drawing/2014/main" id="{385B433A-7363-443B-A288-7CF7268660B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8" name="CaixaDeTexto 1557">
          <a:extLst>
            <a:ext uri="{FF2B5EF4-FFF2-40B4-BE49-F238E27FC236}">
              <a16:creationId xmlns:a16="http://schemas.microsoft.com/office/drawing/2014/main" id="{CA079051-23D3-48AB-83AF-658EE330EA5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59" name="CaixaDeTexto 1558">
          <a:extLst>
            <a:ext uri="{FF2B5EF4-FFF2-40B4-BE49-F238E27FC236}">
              <a16:creationId xmlns:a16="http://schemas.microsoft.com/office/drawing/2014/main" id="{3F4D5763-705D-4638-8F43-0D085AD4149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0" name="CaixaDeTexto 1559">
          <a:extLst>
            <a:ext uri="{FF2B5EF4-FFF2-40B4-BE49-F238E27FC236}">
              <a16:creationId xmlns:a16="http://schemas.microsoft.com/office/drawing/2014/main" id="{58A482AA-99AF-4AA6-8EDA-5139356B708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1" name="CaixaDeTexto 1560">
          <a:extLst>
            <a:ext uri="{FF2B5EF4-FFF2-40B4-BE49-F238E27FC236}">
              <a16:creationId xmlns:a16="http://schemas.microsoft.com/office/drawing/2014/main" id="{B765474D-8AAC-4786-A61E-D94D3C4D093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2" name="CaixaDeTexto 1561">
          <a:extLst>
            <a:ext uri="{FF2B5EF4-FFF2-40B4-BE49-F238E27FC236}">
              <a16:creationId xmlns:a16="http://schemas.microsoft.com/office/drawing/2014/main" id="{1DA76BD2-F894-4B08-992A-95FF31C286B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3" name="CaixaDeTexto 1562">
          <a:extLst>
            <a:ext uri="{FF2B5EF4-FFF2-40B4-BE49-F238E27FC236}">
              <a16:creationId xmlns:a16="http://schemas.microsoft.com/office/drawing/2014/main" id="{5E82E51E-30BA-4022-8BE9-DEF1CF4F09F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4" name="CaixaDeTexto 1563">
          <a:extLst>
            <a:ext uri="{FF2B5EF4-FFF2-40B4-BE49-F238E27FC236}">
              <a16:creationId xmlns:a16="http://schemas.microsoft.com/office/drawing/2014/main" id="{D8170D78-168F-4D96-B111-90E692321E8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5" name="CaixaDeTexto 1564">
          <a:extLst>
            <a:ext uri="{FF2B5EF4-FFF2-40B4-BE49-F238E27FC236}">
              <a16:creationId xmlns:a16="http://schemas.microsoft.com/office/drawing/2014/main" id="{95CDC05A-33E0-4BFD-A165-8F5AC14C23A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6" name="CaixaDeTexto 1565">
          <a:extLst>
            <a:ext uri="{FF2B5EF4-FFF2-40B4-BE49-F238E27FC236}">
              <a16:creationId xmlns:a16="http://schemas.microsoft.com/office/drawing/2014/main" id="{93DA31E0-0486-4C68-BADC-28DB2B4B75B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7" name="CaixaDeTexto 1566">
          <a:extLst>
            <a:ext uri="{FF2B5EF4-FFF2-40B4-BE49-F238E27FC236}">
              <a16:creationId xmlns:a16="http://schemas.microsoft.com/office/drawing/2014/main" id="{B2F37D49-8A63-492E-B50D-0784CEE5F8C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8" name="CaixaDeTexto 1567">
          <a:extLst>
            <a:ext uri="{FF2B5EF4-FFF2-40B4-BE49-F238E27FC236}">
              <a16:creationId xmlns:a16="http://schemas.microsoft.com/office/drawing/2014/main" id="{54F4A43F-D647-4B83-BB1B-D3E49E7A164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69" name="CaixaDeTexto 1568">
          <a:extLst>
            <a:ext uri="{FF2B5EF4-FFF2-40B4-BE49-F238E27FC236}">
              <a16:creationId xmlns:a16="http://schemas.microsoft.com/office/drawing/2014/main" id="{7314865F-D1AE-4C5B-97EF-5819C005BC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70" name="CaixaDeTexto 1569">
          <a:extLst>
            <a:ext uri="{FF2B5EF4-FFF2-40B4-BE49-F238E27FC236}">
              <a16:creationId xmlns:a16="http://schemas.microsoft.com/office/drawing/2014/main" id="{3277D7D3-41EF-4F2C-8220-20647CF2A7E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71" name="CaixaDeTexto 1570">
          <a:extLst>
            <a:ext uri="{FF2B5EF4-FFF2-40B4-BE49-F238E27FC236}">
              <a16:creationId xmlns:a16="http://schemas.microsoft.com/office/drawing/2014/main" id="{71F718C2-311E-4B72-8EED-44FC541E06E9}"/>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2" name="CaixaDeTexto 1571">
          <a:extLst>
            <a:ext uri="{FF2B5EF4-FFF2-40B4-BE49-F238E27FC236}">
              <a16:creationId xmlns:a16="http://schemas.microsoft.com/office/drawing/2014/main" id="{DFEC4A8E-3B0F-42BA-949A-40D72015264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73" name="CaixaDeTexto 1572">
          <a:extLst>
            <a:ext uri="{FF2B5EF4-FFF2-40B4-BE49-F238E27FC236}">
              <a16:creationId xmlns:a16="http://schemas.microsoft.com/office/drawing/2014/main" id="{6FC85003-EBC6-4A63-A2E7-E274C78D3F6B}"/>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4" name="CaixaDeTexto 1573">
          <a:extLst>
            <a:ext uri="{FF2B5EF4-FFF2-40B4-BE49-F238E27FC236}">
              <a16:creationId xmlns:a16="http://schemas.microsoft.com/office/drawing/2014/main" id="{322D06D4-6004-4F25-BE0D-213422026AA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5" name="CaixaDeTexto 1574">
          <a:extLst>
            <a:ext uri="{FF2B5EF4-FFF2-40B4-BE49-F238E27FC236}">
              <a16:creationId xmlns:a16="http://schemas.microsoft.com/office/drawing/2014/main" id="{FC3BE6AB-560A-4A49-9239-015E8A96CEF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6" name="CaixaDeTexto 1575">
          <a:extLst>
            <a:ext uri="{FF2B5EF4-FFF2-40B4-BE49-F238E27FC236}">
              <a16:creationId xmlns:a16="http://schemas.microsoft.com/office/drawing/2014/main" id="{1CBE8088-4513-4102-B7A7-ED2B59A69F7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7" name="CaixaDeTexto 1576">
          <a:extLst>
            <a:ext uri="{FF2B5EF4-FFF2-40B4-BE49-F238E27FC236}">
              <a16:creationId xmlns:a16="http://schemas.microsoft.com/office/drawing/2014/main" id="{D1BDE7CF-2682-44D8-9AA4-E2422ECA420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8" name="CaixaDeTexto 1577">
          <a:extLst>
            <a:ext uri="{FF2B5EF4-FFF2-40B4-BE49-F238E27FC236}">
              <a16:creationId xmlns:a16="http://schemas.microsoft.com/office/drawing/2014/main" id="{D3B99853-9778-4A23-BB30-E6A452C0A1B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79" name="CaixaDeTexto 1578">
          <a:extLst>
            <a:ext uri="{FF2B5EF4-FFF2-40B4-BE49-F238E27FC236}">
              <a16:creationId xmlns:a16="http://schemas.microsoft.com/office/drawing/2014/main" id="{B8223F08-8308-4349-AF86-2DB5B57785B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0" name="CaixaDeTexto 1579">
          <a:extLst>
            <a:ext uri="{FF2B5EF4-FFF2-40B4-BE49-F238E27FC236}">
              <a16:creationId xmlns:a16="http://schemas.microsoft.com/office/drawing/2014/main" id="{1B2818E0-BA01-4276-8B8E-90D3EB28768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581" name="CaixaDeTexto 1580">
          <a:extLst>
            <a:ext uri="{FF2B5EF4-FFF2-40B4-BE49-F238E27FC236}">
              <a16:creationId xmlns:a16="http://schemas.microsoft.com/office/drawing/2014/main" id="{576A6A70-B41A-46C6-9A7A-9E39C70DCED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2" name="CaixaDeTexto 1581">
          <a:extLst>
            <a:ext uri="{FF2B5EF4-FFF2-40B4-BE49-F238E27FC236}">
              <a16:creationId xmlns:a16="http://schemas.microsoft.com/office/drawing/2014/main" id="{CE14ADF5-6412-48E4-A8F9-65CB109B382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3" name="CaixaDeTexto 1582">
          <a:extLst>
            <a:ext uri="{FF2B5EF4-FFF2-40B4-BE49-F238E27FC236}">
              <a16:creationId xmlns:a16="http://schemas.microsoft.com/office/drawing/2014/main" id="{BF199E4D-DA4F-4C55-B919-A059584BC46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4" name="CaixaDeTexto 1583">
          <a:extLst>
            <a:ext uri="{FF2B5EF4-FFF2-40B4-BE49-F238E27FC236}">
              <a16:creationId xmlns:a16="http://schemas.microsoft.com/office/drawing/2014/main" id="{687F17B0-B2D4-42F3-B30D-3FD26CF5452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5" name="CaixaDeTexto 1584">
          <a:extLst>
            <a:ext uri="{FF2B5EF4-FFF2-40B4-BE49-F238E27FC236}">
              <a16:creationId xmlns:a16="http://schemas.microsoft.com/office/drawing/2014/main" id="{3CA36DF0-7124-4A25-BE99-6D1A01684D8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6" name="CaixaDeTexto 1585">
          <a:extLst>
            <a:ext uri="{FF2B5EF4-FFF2-40B4-BE49-F238E27FC236}">
              <a16:creationId xmlns:a16="http://schemas.microsoft.com/office/drawing/2014/main" id="{DFA463CD-EE54-4705-AE4A-9C94164FBBE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7" name="CaixaDeTexto 1586">
          <a:extLst>
            <a:ext uri="{FF2B5EF4-FFF2-40B4-BE49-F238E27FC236}">
              <a16:creationId xmlns:a16="http://schemas.microsoft.com/office/drawing/2014/main" id="{4C22E2BB-3B8C-4779-962C-02DA34F4D25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8" name="CaixaDeTexto 1587">
          <a:extLst>
            <a:ext uri="{FF2B5EF4-FFF2-40B4-BE49-F238E27FC236}">
              <a16:creationId xmlns:a16="http://schemas.microsoft.com/office/drawing/2014/main" id="{468A964F-C476-4D36-97DA-289FF974FB0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589" name="CaixaDeTexto 1588">
          <a:extLst>
            <a:ext uri="{FF2B5EF4-FFF2-40B4-BE49-F238E27FC236}">
              <a16:creationId xmlns:a16="http://schemas.microsoft.com/office/drawing/2014/main" id="{1DAA25BF-A344-45EE-A746-0F476A34DBB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590" name="CaixaDeTexto 1589">
          <a:extLst>
            <a:ext uri="{FF2B5EF4-FFF2-40B4-BE49-F238E27FC236}">
              <a16:creationId xmlns:a16="http://schemas.microsoft.com/office/drawing/2014/main" id="{28CB2DC7-6FEF-4DC4-B68C-9074B9427A4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91" name="CaixaDeTexto 1590">
          <a:extLst>
            <a:ext uri="{FF2B5EF4-FFF2-40B4-BE49-F238E27FC236}">
              <a16:creationId xmlns:a16="http://schemas.microsoft.com/office/drawing/2014/main" id="{3391054D-4AFF-42B6-AF5D-ED6F54A3311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2" name="CaixaDeTexto 1591">
          <a:extLst>
            <a:ext uri="{FF2B5EF4-FFF2-40B4-BE49-F238E27FC236}">
              <a16:creationId xmlns:a16="http://schemas.microsoft.com/office/drawing/2014/main" id="{E1AE27C8-9A2D-4ABC-898A-44A7F298F82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593" name="CaixaDeTexto 1592">
          <a:extLst>
            <a:ext uri="{FF2B5EF4-FFF2-40B4-BE49-F238E27FC236}">
              <a16:creationId xmlns:a16="http://schemas.microsoft.com/office/drawing/2014/main" id="{F8E1FD3F-3B84-4732-9604-5AEDEBEE97D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4" name="CaixaDeTexto 1593">
          <a:extLst>
            <a:ext uri="{FF2B5EF4-FFF2-40B4-BE49-F238E27FC236}">
              <a16:creationId xmlns:a16="http://schemas.microsoft.com/office/drawing/2014/main" id="{EDA51793-F052-4745-87BF-452C3EA4FEFE}"/>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5" name="CaixaDeTexto 1594">
          <a:extLst>
            <a:ext uri="{FF2B5EF4-FFF2-40B4-BE49-F238E27FC236}">
              <a16:creationId xmlns:a16="http://schemas.microsoft.com/office/drawing/2014/main" id="{540EFBC9-C98A-452C-9A47-35A8B89A1D70}"/>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6" name="CaixaDeTexto 1595">
          <a:extLst>
            <a:ext uri="{FF2B5EF4-FFF2-40B4-BE49-F238E27FC236}">
              <a16:creationId xmlns:a16="http://schemas.microsoft.com/office/drawing/2014/main" id="{F2F5000B-21F1-4617-911B-3E0AC89B7480}"/>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7" name="CaixaDeTexto 1596">
          <a:extLst>
            <a:ext uri="{FF2B5EF4-FFF2-40B4-BE49-F238E27FC236}">
              <a16:creationId xmlns:a16="http://schemas.microsoft.com/office/drawing/2014/main" id="{B6DE277F-61D4-46F6-936B-231F2DA2D25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8" name="CaixaDeTexto 1597">
          <a:extLst>
            <a:ext uri="{FF2B5EF4-FFF2-40B4-BE49-F238E27FC236}">
              <a16:creationId xmlns:a16="http://schemas.microsoft.com/office/drawing/2014/main" id="{AC291389-9361-4331-87F2-3F761C2D35B8}"/>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599" name="CaixaDeTexto 1598">
          <a:extLst>
            <a:ext uri="{FF2B5EF4-FFF2-40B4-BE49-F238E27FC236}">
              <a16:creationId xmlns:a16="http://schemas.microsoft.com/office/drawing/2014/main" id="{F1CA543E-7E0A-414B-A288-E16A29B6342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00" name="CaixaDeTexto 1599">
          <a:extLst>
            <a:ext uri="{FF2B5EF4-FFF2-40B4-BE49-F238E27FC236}">
              <a16:creationId xmlns:a16="http://schemas.microsoft.com/office/drawing/2014/main" id="{1BEC3106-630C-4ACF-BFAC-513D73DE963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1" name="CaixaDeTexto 1600">
          <a:extLst>
            <a:ext uri="{FF2B5EF4-FFF2-40B4-BE49-F238E27FC236}">
              <a16:creationId xmlns:a16="http://schemas.microsoft.com/office/drawing/2014/main" id="{E8AABA14-B180-436A-A1D9-32AB6479FC9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2" name="CaixaDeTexto 1601">
          <a:extLst>
            <a:ext uri="{FF2B5EF4-FFF2-40B4-BE49-F238E27FC236}">
              <a16:creationId xmlns:a16="http://schemas.microsoft.com/office/drawing/2014/main" id="{1A2E268F-316A-4CA1-BFC0-7603ADD7D2B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3" name="CaixaDeTexto 1602">
          <a:extLst>
            <a:ext uri="{FF2B5EF4-FFF2-40B4-BE49-F238E27FC236}">
              <a16:creationId xmlns:a16="http://schemas.microsoft.com/office/drawing/2014/main" id="{A7FA0336-B135-4B4E-B0C2-8C6537BADD1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4" name="CaixaDeTexto 1603">
          <a:extLst>
            <a:ext uri="{FF2B5EF4-FFF2-40B4-BE49-F238E27FC236}">
              <a16:creationId xmlns:a16="http://schemas.microsoft.com/office/drawing/2014/main" id="{AF65BBF1-476C-4E09-B3A1-48350DC0415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5" name="CaixaDeTexto 1604">
          <a:extLst>
            <a:ext uri="{FF2B5EF4-FFF2-40B4-BE49-F238E27FC236}">
              <a16:creationId xmlns:a16="http://schemas.microsoft.com/office/drawing/2014/main" id="{5FE18BDE-564D-4FDA-A5F5-B09CEA7A009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6" name="CaixaDeTexto 1605">
          <a:extLst>
            <a:ext uri="{FF2B5EF4-FFF2-40B4-BE49-F238E27FC236}">
              <a16:creationId xmlns:a16="http://schemas.microsoft.com/office/drawing/2014/main" id="{AF6F473A-5F03-491B-93D2-F55A64B7D4D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7" name="CaixaDeTexto 1606">
          <a:extLst>
            <a:ext uri="{FF2B5EF4-FFF2-40B4-BE49-F238E27FC236}">
              <a16:creationId xmlns:a16="http://schemas.microsoft.com/office/drawing/2014/main" id="{11A2DA07-520E-45BE-9181-D914A55A3BE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8" name="CaixaDeTexto 1607">
          <a:extLst>
            <a:ext uri="{FF2B5EF4-FFF2-40B4-BE49-F238E27FC236}">
              <a16:creationId xmlns:a16="http://schemas.microsoft.com/office/drawing/2014/main" id="{A81BA4A2-4EC0-4763-A22A-12D3DC83651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09" name="CaixaDeTexto 1608">
          <a:extLst>
            <a:ext uri="{FF2B5EF4-FFF2-40B4-BE49-F238E27FC236}">
              <a16:creationId xmlns:a16="http://schemas.microsoft.com/office/drawing/2014/main" id="{FBEA85AC-8F67-4809-829E-17CC399D4EC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0" name="CaixaDeTexto 1609">
          <a:extLst>
            <a:ext uri="{FF2B5EF4-FFF2-40B4-BE49-F238E27FC236}">
              <a16:creationId xmlns:a16="http://schemas.microsoft.com/office/drawing/2014/main" id="{0472665B-6F75-434B-9A47-A8C5E3A529E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1" name="CaixaDeTexto 1610">
          <a:extLst>
            <a:ext uri="{FF2B5EF4-FFF2-40B4-BE49-F238E27FC236}">
              <a16:creationId xmlns:a16="http://schemas.microsoft.com/office/drawing/2014/main" id="{75A24F1B-A08D-4FD8-AC5C-442A03439AB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2" name="CaixaDeTexto 1611">
          <a:extLst>
            <a:ext uri="{FF2B5EF4-FFF2-40B4-BE49-F238E27FC236}">
              <a16:creationId xmlns:a16="http://schemas.microsoft.com/office/drawing/2014/main" id="{2741D174-BE83-4F98-BC67-1696948CE22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3" name="CaixaDeTexto 1612">
          <a:extLst>
            <a:ext uri="{FF2B5EF4-FFF2-40B4-BE49-F238E27FC236}">
              <a16:creationId xmlns:a16="http://schemas.microsoft.com/office/drawing/2014/main" id="{099FB83D-B81A-46FB-AEC6-8B53D6ABD78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4" name="CaixaDeTexto 1613">
          <a:extLst>
            <a:ext uri="{FF2B5EF4-FFF2-40B4-BE49-F238E27FC236}">
              <a16:creationId xmlns:a16="http://schemas.microsoft.com/office/drawing/2014/main" id="{50A86DC4-7BAA-49E9-A48B-D656C482090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5" name="CaixaDeTexto 1614">
          <a:extLst>
            <a:ext uri="{FF2B5EF4-FFF2-40B4-BE49-F238E27FC236}">
              <a16:creationId xmlns:a16="http://schemas.microsoft.com/office/drawing/2014/main" id="{693BB1C1-6535-477E-9478-DCEB69F64CA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6" name="CaixaDeTexto 1615">
          <a:extLst>
            <a:ext uri="{FF2B5EF4-FFF2-40B4-BE49-F238E27FC236}">
              <a16:creationId xmlns:a16="http://schemas.microsoft.com/office/drawing/2014/main" id="{ABEF012D-FAA1-4898-9ED3-4C04CE8AE19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7" name="CaixaDeTexto 1616">
          <a:extLst>
            <a:ext uri="{FF2B5EF4-FFF2-40B4-BE49-F238E27FC236}">
              <a16:creationId xmlns:a16="http://schemas.microsoft.com/office/drawing/2014/main" id="{40A96C36-1269-4EAB-A848-38191A30666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8" name="CaixaDeTexto 1617">
          <a:extLst>
            <a:ext uri="{FF2B5EF4-FFF2-40B4-BE49-F238E27FC236}">
              <a16:creationId xmlns:a16="http://schemas.microsoft.com/office/drawing/2014/main" id="{E8B3CA70-4863-4A96-A7D7-23619C65061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19" name="CaixaDeTexto 1618">
          <a:extLst>
            <a:ext uri="{FF2B5EF4-FFF2-40B4-BE49-F238E27FC236}">
              <a16:creationId xmlns:a16="http://schemas.microsoft.com/office/drawing/2014/main" id="{2F04D460-436A-4894-971D-2C1377A699A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0" name="CaixaDeTexto 1619">
          <a:extLst>
            <a:ext uri="{FF2B5EF4-FFF2-40B4-BE49-F238E27FC236}">
              <a16:creationId xmlns:a16="http://schemas.microsoft.com/office/drawing/2014/main" id="{3B5D30C2-8266-4002-B32D-41A07D69BEB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1" name="CaixaDeTexto 1620">
          <a:extLst>
            <a:ext uri="{FF2B5EF4-FFF2-40B4-BE49-F238E27FC236}">
              <a16:creationId xmlns:a16="http://schemas.microsoft.com/office/drawing/2014/main" id="{07D393B1-5832-4735-8E67-DAEC06539B8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2" name="CaixaDeTexto 1621">
          <a:extLst>
            <a:ext uri="{FF2B5EF4-FFF2-40B4-BE49-F238E27FC236}">
              <a16:creationId xmlns:a16="http://schemas.microsoft.com/office/drawing/2014/main" id="{9BFB62AD-88A0-48EE-B309-10D3ADE1859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3" name="CaixaDeTexto 1622">
          <a:extLst>
            <a:ext uri="{FF2B5EF4-FFF2-40B4-BE49-F238E27FC236}">
              <a16:creationId xmlns:a16="http://schemas.microsoft.com/office/drawing/2014/main" id="{A13EEFB8-CE43-490E-A19D-9C8A79F4298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4" name="CaixaDeTexto 1623">
          <a:extLst>
            <a:ext uri="{FF2B5EF4-FFF2-40B4-BE49-F238E27FC236}">
              <a16:creationId xmlns:a16="http://schemas.microsoft.com/office/drawing/2014/main" id="{9F046E30-FBA3-433A-914F-EB31E18D6BC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5" name="CaixaDeTexto 1624">
          <a:extLst>
            <a:ext uri="{FF2B5EF4-FFF2-40B4-BE49-F238E27FC236}">
              <a16:creationId xmlns:a16="http://schemas.microsoft.com/office/drawing/2014/main" id="{0FEB066B-F85F-44C5-B423-ED0DF3C2217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6" name="CaixaDeTexto 1625">
          <a:extLst>
            <a:ext uri="{FF2B5EF4-FFF2-40B4-BE49-F238E27FC236}">
              <a16:creationId xmlns:a16="http://schemas.microsoft.com/office/drawing/2014/main" id="{A495C0A9-F1A7-4CFD-8962-98658F956C5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7" name="CaixaDeTexto 1626">
          <a:extLst>
            <a:ext uri="{FF2B5EF4-FFF2-40B4-BE49-F238E27FC236}">
              <a16:creationId xmlns:a16="http://schemas.microsoft.com/office/drawing/2014/main" id="{C1745972-515C-4F77-833D-9D4A3A1E08D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8" name="CaixaDeTexto 1627">
          <a:extLst>
            <a:ext uri="{FF2B5EF4-FFF2-40B4-BE49-F238E27FC236}">
              <a16:creationId xmlns:a16="http://schemas.microsoft.com/office/drawing/2014/main" id="{77C23553-C862-461E-BC56-3F3E888BA4A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29" name="CaixaDeTexto 1628">
          <a:extLst>
            <a:ext uri="{FF2B5EF4-FFF2-40B4-BE49-F238E27FC236}">
              <a16:creationId xmlns:a16="http://schemas.microsoft.com/office/drawing/2014/main" id="{29DBE8D2-B962-4A7A-8A0B-C52133AEA50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0" name="CaixaDeTexto 1629">
          <a:extLst>
            <a:ext uri="{FF2B5EF4-FFF2-40B4-BE49-F238E27FC236}">
              <a16:creationId xmlns:a16="http://schemas.microsoft.com/office/drawing/2014/main" id="{561C0568-C5C1-4052-8409-00F3AB95172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1" name="CaixaDeTexto 1630">
          <a:extLst>
            <a:ext uri="{FF2B5EF4-FFF2-40B4-BE49-F238E27FC236}">
              <a16:creationId xmlns:a16="http://schemas.microsoft.com/office/drawing/2014/main" id="{3752CEC2-82F4-4655-9DB9-74D125D654A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2" name="CaixaDeTexto 1631">
          <a:extLst>
            <a:ext uri="{FF2B5EF4-FFF2-40B4-BE49-F238E27FC236}">
              <a16:creationId xmlns:a16="http://schemas.microsoft.com/office/drawing/2014/main" id="{CDAD1CD5-CD02-43CF-9612-7C7E8E1F395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3" name="CaixaDeTexto 1632">
          <a:extLst>
            <a:ext uri="{FF2B5EF4-FFF2-40B4-BE49-F238E27FC236}">
              <a16:creationId xmlns:a16="http://schemas.microsoft.com/office/drawing/2014/main" id="{F38FC06D-CF89-4B4E-B2A1-952DC686946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4" name="CaixaDeTexto 1633">
          <a:extLst>
            <a:ext uri="{FF2B5EF4-FFF2-40B4-BE49-F238E27FC236}">
              <a16:creationId xmlns:a16="http://schemas.microsoft.com/office/drawing/2014/main" id="{6AF9C73C-95BF-457D-8CD7-591C29FD28C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5" name="CaixaDeTexto 1634">
          <a:extLst>
            <a:ext uri="{FF2B5EF4-FFF2-40B4-BE49-F238E27FC236}">
              <a16:creationId xmlns:a16="http://schemas.microsoft.com/office/drawing/2014/main" id="{6CC8A7D5-7857-4253-B294-22FFF2D827A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6" name="CaixaDeTexto 1635">
          <a:extLst>
            <a:ext uri="{FF2B5EF4-FFF2-40B4-BE49-F238E27FC236}">
              <a16:creationId xmlns:a16="http://schemas.microsoft.com/office/drawing/2014/main" id="{9FB88F56-B313-4550-9597-42DAE064AB0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7" name="CaixaDeTexto 1636">
          <a:extLst>
            <a:ext uri="{FF2B5EF4-FFF2-40B4-BE49-F238E27FC236}">
              <a16:creationId xmlns:a16="http://schemas.microsoft.com/office/drawing/2014/main" id="{17152DA5-65BE-4039-BE55-CD90D266C4A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8" name="CaixaDeTexto 1637">
          <a:extLst>
            <a:ext uri="{FF2B5EF4-FFF2-40B4-BE49-F238E27FC236}">
              <a16:creationId xmlns:a16="http://schemas.microsoft.com/office/drawing/2014/main" id="{E1FEAA9B-D0A1-4713-A3FF-E6C31999963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39" name="CaixaDeTexto 1638">
          <a:extLst>
            <a:ext uri="{FF2B5EF4-FFF2-40B4-BE49-F238E27FC236}">
              <a16:creationId xmlns:a16="http://schemas.microsoft.com/office/drawing/2014/main" id="{5EEAD92C-C4FF-4465-A679-7D7DFC85DA8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40" name="CaixaDeTexto 1639">
          <a:extLst>
            <a:ext uri="{FF2B5EF4-FFF2-40B4-BE49-F238E27FC236}">
              <a16:creationId xmlns:a16="http://schemas.microsoft.com/office/drawing/2014/main" id="{CE44B52E-407D-4735-B2FD-B70A6E8C2C0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41" name="CaixaDeTexto 1640">
          <a:extLst>
            <a:ext uri="{FF2B5EF4-FFF2-40B4-BE49-F238E27FC236}">
              <a16:creationId xmlns:a16="http://schemas.microsoft.com/office/drawing/2014/main" id="{9CE1425B-30F8-4E62-B9AB-8542756EFA3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42" name="CaixaDeTexto 1641">
          <a:extLst>
            <a:ext uri="{FF2B5EF4-FFF2-40B4-BE49-F238E27FC236}">
              <a16:creationId xmlns:a16="http://schemas.microsoft.com/office/drawing/2014/main" id="{68723DC0-2A7E-45F6-85BF-4919B0A4F26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43" name="CaixaDeTexto 1642">
          <a:extLst>
            <a:ext uri="{FF2B5EF4-FFF2-40B4-BE49-F238E27FC236}">
              <a16:creationId xmlns:a16="http://schemas.microsoft.com/office/drawing/2014/main" id="{11E36F8D-8952-4D3A-BB9D-EFE9EA5AF21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44" name="CaixaDeTexto 1643">
          <a:extLst>
            <a:ext uri="{FF2B5EF4-FFF2-40B4-BE49-F238E27FC236}">
              <a16:creationId xmlns:a16="http://schemas.microsoft.com/office/drawing/2014/main" id="{8F433C08-AAD7-4ACD-A823-19EA33005F2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45" name="CaixaDeTexto 1644">
          <a:extLst>
            <a:ext uri="{FF2B5EF4-FFF2-40B4-BE49-F238E27FC236}">
              <a16:creationId xmlns:a16="http://schemas.microsoft.com/office/drawing/2014/main" id="{0A3652AC-3BA8-4977-8C35-8745849F948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46" name="CaixaDeTexto 1645">
          <a:extLst>
            <a:ext uri="{FF2B5EF4-FFF2-40B4-BE49-F238E27FC236}">
              <a16:creationId xmlns:a16="http://schemas.microsoft.com/office/drawing/2014/main" id="{1F682157-45DB-4029-B91E-9DE1D588D610}"/>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47" name="CaixaDeTexto 1646">
          <a:extLst>
            <a:ext uri="{FF2B5EF4-FFF2-40B4-BE49-F238E27FC236}">
              <a16:creationId xmlns:a16="http://schemas.microsoft.com/office/drawing/2014/main" id="{F2F4B364-88B5-42A3-87E9-D731666625C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48" name="CaixaDeTexto 1647">
          <a:extLst>
            <a:ext uri="{FF2B5EF4-FFF2-40B4-BE49-F238E27FC236}">
              <a16:creationId xmlns:a16="http://schemas.microsoft.com/office/drawing/2014/main" id="{687F237A-B378-4288-96A8-3990F011664C}"/>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49" name="CaixaDeTexto 1648">
          <a:extLst>
            <a:ext uri="{FF2B5EF4-FFF2-40B4-BE49-F238E27FC236}">
              <a16:creationId xmlns:a16="http://schemas.microsoft.com/office/drawing/2014/main" id="{0F51A65D-3338-4F14-AFF5-8E5A3AC1424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0" name="CaixaDeTexto 1649">
          <a:extLst>
            <a:ext uri="{FF2B5EF4-FFF2-40B4-BE49-F238E27FC236}">
              <a16:creationId xmlns:a16="http://schemas.microsoft.com/office/drawing/2014/main" id="{A1081FAF-43AF-4ED7-B312-6BCA023B7B1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1" name="CaixaDeTexto 1650">
          <a:extLst>
            <a:ext uri="{FF2B5EF4-FFF2-40B4-BE49-F238E27FC236}">
              <a16:creationId xmlns:a16="http://schemas.microsoft.com/office/drawing/2014/main" id="{E69AFA95-E119-4963-A76C-37FE2D3739B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2" name="CaixaDeTexto 1651">
          <a:extLst>
            <a:ext uri="{FF2B5EF4-FFF2-40B4-BE49-F238E27FC236}">
              <a16:creationId xmlns:a16="http://schemas.microsoft.com/office/drawing/2014/main" id="{4E69AA7A-0D9B-49F1-9A48-878FCCE12A5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3" name="CaixaDeTexto 1652">
          <a:extLst>
            <a:ext uri="{FF2B5EF4-FFF2-40B4-BE49-F238E27FC236}">
              <a16:creationId xmlns:a16="http://schemas.microsoft.com/office/drawing/2014/main" id="{4B05D333-8A24-4921-96A3-F72A1A6FABB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4" name="CaixaDeTexto 1653">
          <a:extLst>
            <a:ext uri="{FF2B5EF4-FFF2-40B4-BE49-F238E27FC236}">
              <a16:creationId xmlns:a16="http://schemas.microsoft.com/office/drawing/2014/main" id="{94839AD9-6EC1-4A2A-9E51-BA03004357F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5" name="CaixaDeTexto 1654">
          <a:extLst>
            <a:ext uri="{FF2B5EF4-FFF2-40B4-BE49-F238E27FC236}">
              <a16:creationId xmlns:a16="http://schemas.microsoft.com/office/drawing/2014/main" id="{82208CE6-DE17-40AC-9866-10CA792383D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656" name="CaixaDeTexto 1655">
          <a:extLst>
            <a:ext uri="{FF2B5EF4-FFF2-40B4-BE49-F238E27FC236}">
              <a16:creationId xmlns:a16="http://schemas.microsoft.com/office/drawing/2014/main" id="{D939A549-2028-4E49-A4F2-B86230F8C09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7" name="CaixaDeTexto 1656">
          <a:extLst>
            <a:ext uri="{FF2B5EF4-FFF2-40B4-BE49-F238E27FC236}">
              <a16:creationId xmlns:a16="http://schemas.microsoft.com/office/drawing/2014/main" id="{BA24C756-325D-464C-98A1-64522CBA118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8" name="CaixaDeTexto 1657">
          <a:extLst>
            <a:ext uri="{FF2B5EF4-FFF2-40B4-BE49-F238E27FC236}">
              <a16:creationId xmlns:a16="http://schemas.microsoft.com/office/drawing/2014/main" id="{1ADF9F0C-BE08-4A49-874B-473D8D09ECC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59" name="CaixaDeTexto 1658">
          <a:extLst>
            <a:ext uri="{FF2B5EF4-FFF2-40B4-BE49-F238E27FC236}">
              <a16:creationId xmlns:a16="http://schemas.microsoft.com/office/drawing/2014/main" id="{E9442988-9DFF-4B2E-9D35-74202B978CD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60" name="CaixaDeTexto 1659">
          <a:extLst>
            <a:ext uri="{FF2B5EF4-FFF2-40B4-BE49-F238E27FC236}">
              <a16:creationId xmlns:a16="http://schemas.microsoft.com/office/drawing/2014/main" id="{52598D88-0EA6-4530-9F3B-8CEFF3DA9C8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61" name="CaixaDeTexto 1660">
          <a:extLst>
            <a:ext uri="{FF2B5EF4-FFF2-40B4-BE49-F238E27FC236}">
              <a16:creationId xmlns:a16="http://schemas.microsoft.com/office/drawing/2014/main" id="{45AF4DAA-F505-4FD1-822C-7037F95A885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62" name="CaixaDeTexto 1661">
          <a:extLst>
            <a:ext uri="{FF2B5EF4-FFF2-40B4-BE49-F238E27FC236}">
              <a16:creationId xmlns:a16="http://schemas.microsoft.com/office/drawing/2014/main" id="{1C4CB6BF-5609-473C-9096-D0214158F3F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63" name="CaixaDeTexto 1662">
          <a:extLst>
            <a:ext uri="{FF2B5EF4-FFF2-40B4-BE49-F238E27FC236}">
              <a16:creationId xmlns:a16="http://schemas.microsoft.com/office/drawing/2014/main" id="{4DE38CA5-F212-4383-BA9D-F6574546532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664" name="CaixaDeTexto 1663">
          <a:extLst>
            <a:ext uri="{FF2B5EF4-FFF2-40B4-BE49-F238E27FC236}">
              <a16:creationId xmlns:a16="http://schemas.microsoft.com/office/drawing/2014/main" id="{A37CBE34-2FEF-46AA-80FF-F7D3E9DE38C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665" name="CaixaDeTexto 1664">
          <a:extLst>
            <a:ext uri="{FF2B5EF4-FFF2-40B4-BE49-F238E27FC236}">
              <a16:creationId xmlns:a16="http://schemas.microsoft.com/office/drawing/2014/main" id="{4D1E9A81-7A41-4361-B770-AAA2D8968C0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66" name="CaixaDeTexto 1665">
          <a:extLst>
            <a:ext uri="{FF2B5EF4-FFF2-40B4-BE49-F238E27FC236}">
              <a16:creationId xmlns:a16="http://schemas.microsoft.com/office/drawing/2014/main" id="{498D7C74-4EB3-418F-96C2-BE21D1A9209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67" name="CaixaDeTexto 1666">
          <a:extLst>
            <a:ext uri="{FF2B5EF4-FFF2-40B4-BE49-F238E27FC236}">
              <a16:creationId xmlns:a16="http://schemas.microsoft.com/office/drawing/2014/main" id="{1DE7DAE7-9086-4379-8EFB-ADD8040A76D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68" name="CaixaDeTexto 1667">
          <a:extLst>
            <a:ext uri="{FF2B5EF4-FFF2-40B4-BE49-F238E27FC236}">
              <a16:creationId xmlns:a16="http://schemas.microsoft.com/office/drawing/2014/main" id="{30DA693E-037F-4BD5-AE5F-5199EB0B7F4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69" name="CaixaDeTexto 1668">
          <a:extLst>
            <a:ext uri="{FF2B5EF4-FFF2-40B4-BE49-F238E27FC236}">
              <a16:creationId xmlns:a16="http://schemas.microsoft.com/office/drawing/2014/main" id="{3944E83B-1860-4972-A08B-CE418CAEF4A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70" name="CaixaDeTexto 1669">
          <a:extLst>
            <a:ext uri="{FF2B5EF4-FFF2-40B4-BE49-F238E27FC236}">
              <a16:creationId xmlns:a16="http://schemas.microsoft.com/office/drawing/2014/main" id="{563D5A8B-3058-42D9-9270-5452520B671A}"/>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71" name="CaixaDeTexto 1670">
          <a:extLst>
            <a:ext uri="{FF2B5EF4-FFF2-40B4-BE49-F238E27FC236}">
              <a16:creationId xmlns:a16="http://schemas.microsoft.com/office/drawing/2014/main" id="{BB85540E-E832-4135-806F-503890C392BA}"/>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72" name="CaixaDeTexto 1671">
          <a:extLst>
            <a:ext uri="{FF2B5EF4-FFF2-40B4-BE49-F238E27FC236}">
              <a16:creationId xmlns:a16="http://schemas.microsoft.com/office/drawing/2014/main" id="{ECF42A90-AEA0-4C3B-AC44-99EDE13059A3}"/>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73" name="CaixaDeTexto 1672">
          <a:extLst>
            <a:ext uri="{FF2B5EF4-FFF2-40B4-BE49-F238E27FC236}">
              <a16:creationId xmlns:a16="http://schemas.microsoft.com/office/drawing/2014/main" id="{B07DED99-2A0C-480F-A4E5-877C559B4E6C}"/>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74" name="CaixaDeTexto 1673">
          <a:extLst>
            <a:ext uri="{FF2B5EF4-FFF2-40B4-BE49-F238E27FC236}">
              <a16:creationId xmlns:a16="http://schemas.microsoft.com/office/drawing/2014/main" id="{CAC02BE0-BDED-44C7-BE81-30D648E1F815}"/>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675" name="CaixaDeTexto 1674">
          <a:extLst>
            <a:ext uri="{FF2B5EF4-FFF2-40B4-BE49-F238E27FC236}">
              <a16:creationId xmlns:a16="http://schemas.microsoft.com/office/drawing/2014/main" id="{0D125843-6637-4F42-A6EF-9A42DFB3C852}"/>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76" name="CaixaDeTexto 1675">
          <a:extLst>
            <a:ext uri="{FF2B5EF4-FFF2-40B4-BE49-F238E27FC236}">
              <a16:creationId xmlns:a16="http://schemas.microsoft.com/office/drawing/2014/main" id="{33250869-70FF-4489-8A93-7E8A532BCE7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77" name="CaixaDeTexto 1676">
          <a:extLst>
            <a:ext uri="{FF2B5EF4-FFF2-40B4-BE49-F238E27FC236}">
              <a16:creationId xmlns:a16="http://schemas.microsoft.com/office/drawing/2014/main" id="{3631BE4F-5954-44EB-9CAF-DE64183BF9B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78" name="CaixaDeTexto 1677">
          <a:extLst>
            <a:ext uri="{FF2B5EF4-FFF2-40B4-BE49-F238E27FC236}">
              <a16:creationId xmlns:a16="http://schemas.microsoft.com/office/drawing/2014/main" id="{7C5B14C3-A404-46EA-B6CF-2A58E4F9233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79" name="CaixaDeTexto 1678">
          <a:extLst>
            <a:ext uri="{FF2B5EF4-FFF2-40B4-BE49-F238E27FC236}">
              <a16:creationId xmlns:a16="http://schemas.microsoft.com/office/drawing/2014/main" id="{37ED12A5-22BD-4E1A-98BC-41235D7C469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0" name="CaixaDeTexto 1679">
          <a:extLst>
            <a:ext uri="{FF2B5EF4-FFF2-40B4-BE49-F238E27FC236}">
              <a16:creationId xmlns:a16="http://schemas.microsoft.com/office/drawing/2014/main" id="{0626B1EC-F97B-4B58-B60C-CAA72F8B2F6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1" name="CaixaDeTexto 1680">
          <a:extLst>
            <a:ext uri="{FF2B5EF4-FFF2-40B4-BE49-F238E27FC236}">
              <a16:creationId xmlns:a16="http://schemas.microsoft.com/office/drawing/2014/main" id="{F86C5569-8051-4832-9293-87BDAC81E90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2" name="CaixaDeTexto 1681">
          <a:extLst>
            <a:ext uri="{FF2B5EF4-FFF2-40B4-BE49-F238E27FC236}">
              <a16:creationId xmlns:a16="http://schemas.microsoft.com/office/drawing/2014/main" id="{A6A238EA-987B-492B-B8D6-EA4EE289609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3" name="CaixaDeTexto 1682">
          <a:extLst>
            <a:ext uri="{FF2B5EF4-FFF2-40B4-BE49-F238E27FC236}">
              <a16:creationId xmlns:a16="http://schemas.microsoft.com/office/drawing/2014/main" id="{32F95981-8DC8-4107-B2B8-4F2862735E8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4" name="CaixaDeTexto 1683">
          <a:extLst>
            <a:ext uri="{FF2B5EF4-FFF2-40B4-BE49-F238E27FC236}">
              <a16:creationId xmlns:a16="http://schemas.microsoft.com/office/drawing/2014/main" id="{8F9EB994-63A9-4477-AC73-EFE3BACFEBB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5" name="CaixaDeTexto 1684">
          <a:extLst>
            <a:ext uri="{FF2B5EF4-FFF2-40B4-BE49-F238E27FC236}">
              <a16:creationId xmlns:a16="http://schemas.microsoft.com/office/drawing/2014/main" id="{78E621FF-FF6F-428F-A1C6-F45E04EB45F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6" name="CaixaDeTexto 1685">
          <a:extLst>
            <a:ext uri="{FF2B5EF4-FFF2-40B4-BE49-F238E27FC236}">
              <a16:creationId xmlns:a16="http://schemas.microsoft.com/office/drawing/2014/main" id="{5EE79A90-6FCC-4E9B-A6AD-4D7905DD0E5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7" name="CaixaDeTexto 1686">
          <a:extLst>
            <a:ext uri="{FF2B5EF4-FFF2-40B4-BE49-F238E27FC236}">
              <a16:creationId xmlns:a16="http://schemas.microsoft.com/office/drawing/2014/main" id="{6C566F34-F6C9-496A-800A-C159B3DE83D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8" name="CaixaDeTexto 1687">
          <a:extLst>
            <a:ext uri="{FF2B5EF4-FFF2-40B4-BE49-F238E27FC236}">
              <a16:creationId xmlns:a16="http://schemas.microsoft.com/office/drawing/2014/main" id="{3D8F29BA-8ED9-45CE-AE04-47A759EFE44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89" name="CaixaDeTexto 1688">
          <a:extLst>
            <a:ext uri="{FF2B5EF4-FFF2-40B4-BE49-F238E27FC236}">
              <a16:creationId xmlns:a16="http://schemas.microsoft.com/office/drawing/2014/main" id="{E867D2AB-7864-4A58-80C7-28CD238B007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0" name="CaixaDeTexto 1689">
          <a:extLst>
            <a:ext uri="{FF2B5EF4-FFF2-40B4-BE49-F238E27FC236}">
              <a16:creationId xmlns:a16="http://schemas.microsoft.com/office/drawing/2014/main" id="{6B3AF1A2-194F-44FF-98A0-4E517ADBABD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1" name="CaixaDeTexto 1690">
          <a:extLst>
            <a:ext uri="{FF2B5EF4-FFF2-40B4-BE49-F238E27FC236}">
              <a16:creationId xmlns:a16="http://schemas.microsoft.com/office/drawing/2014/main" id="{D93D1EA2-C57B-4285-AEDF-205B38AFC26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2" name="CaixaDeTexto 1691">
          <a:extLst>
            <a:ext uri="{FF2B5EF4-FFF2-40B4-BE49-F238E27FC236}">
              <a16:creationId xmlns:a16="http://schemas.microsoft.com/office/drawing/2014/main" id="{3CC1C5D5-26E3-43A8-BB57-1A962E4BB1F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3" name="CaixaDeTexto 1692">
          <a:extLst>
            <a:ext uri="{FF2B5EF4-FFF2-40B4-BE49-F238E27FC236}">
              <a16:creationId xmlns:a16="http://schemas.microsoft.com/office/drawing/2014/main" id="{65AD1D81-5260-4686-AA52-30C3AE9130B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4" name="CaixaDeTexto 1693">
          <a:extLst>
            <a:ext uri="{FF2B5EF4-FFF2-40B4-BE49-F238E27FC236}">
              <a16:creationId xmlns:a16="http://schemas.microsoft.com/office/drawing/2014/main" id="{048DB22C-4915-4454-A03A-61D531BFEBD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5" name="CaixaDeTexto 1694">
          <a:extLst>
            <a:ext uri="{FF2B5EF4-FFF2-40B4-BE49-F238E27FC236}">
              <a16:creationId xmlns:a16="http://schemas.microsoft.com/office/drawing/2014/main" id="{525515FE-CD42-44DE-9BFA-AF47DB8CEB4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6" name="CaixaDeTexto 1695">
          <a:extLst>
            <a:ext uri="{FF2B5EF4-FFF2-40B4-BE49-F238E27FC236}">
              <a16:creationId xmlns:a16="http://schemas.microsoft.com/office/drawing/2014/main" id="{74C1BBB2-13C8-4CA7-A9D7-58A08A296D1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7" name="CaixaDeTexto 1696">
          <a:extLst>
            <a:ext uri="{FF2B5EF4-FFF2-40B4-BE49-F238E27FC236}">
              <a16:creationId xmlns:a16="http://schemas.microsoft.com/office/drawing/2014/main" id="{11BFBC29-3438-4928-AAE9-2EAA43BD4BF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8" name="CaixaDeTexto 1697">
          <a:extLst>
            <a:ext uri="{FF2B5EF4-FFF2-40B4-BE49-F238E27FC236}">
              <a16:creationId xmlns:a16="http://schemas.microsoft.com/office/drawing/2014/main" id="{E25C2CC3-E9BA-4A29-BEC5-0C191441F3E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699" name="CaixaDeTexto 1698">
          <a:extLst>
            <a:ext uri="{FF2B5EF4-FFF2-40B4-BE49-F238E27FC236}">
              <a16:creationId xmlns:a16="http://schemas.microsoft.com/office/drawing/2014/main" id="{9D17B3AF-28E1-44D3-BEE8-30088D5BF42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0" name="CaixaDeTexto 1699">
          <a:extLst>
            <a:ext uri="{FF2B5EF4-FFF2-40B4-BE49-F238E27FC236}">
              <a16:creationId xmlns:a16="http://schemas.microsoft.com/office/drawing/2014/main" id="{A16B9F73-F469-49DA-870D-757C7352D34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1" name="CaixaDeTexto 1700">
          <a:extLst>
            <a:ext uri="{FF2B5EF4-FFF2-40B4-BE49-F238E27FC236}">
              <a16:creationId xmlns:a16="http://schemas.microsoft.com/office/drawing/2014/main" id="{8A41F7EC-D9D8-450C-BD1B-571FD80D492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2" name="CaixaDeTexto 1701">
          <a:extLst>
            <a:ext uri="{FF2B5EF4-FFF2-40B4-BE49-F238E27FC236}">
              <a16:creationId xmlns:a16="http://schemas.microsoft.com/office/drawing/2014/main" id="{46DD2695-B21C-4285-9A02-23B926051FB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3" name="CaixaDeTexto 1702">
          <a:extLst>
            <a:ext uri="{FF2B5EF4-FFF2-40B4-BE49-F238E27FC236}">
              <a16:creationId xmlns:a16="http://schemas.microsoft.com/office/drawing/2014/main" id="{9B033459-D6CC-40C1-81BE-D65AA1864C5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4" name="CaixaDeTexto 1703">
          <a:extLst>
            <a:ext uri="{FF2B5EF4-FFF2-40B4-BE49-F238E27FC236}">
              <a16:creationId xmlns:a16="http://schemas.microsoft.com/office/drawing/2014/main" id="{97544846-5110-4B8C-9DE0-1F6F8AC6B35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5" name="CaixaDeTexto 1704">
          <a:extLst>
            <a:ext uri="{FF2B5EF4-FFF2-40B4-BE49-F238E27FC236}">
              <a16:creationId xmlns:a16="http://schemas.microsoft.com/office/drawing/2014/main" id="{A2292858-B041-4A72-BDA3-0BB9B045BBC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6" name="CaixaDeTexto 1705">
          <a:extLst>
            <a:ext uri="{FF2B5EF4-FFF2-40B4-BE49-F238E27FC236}">
              <a16:creationId xmlns:a16="http://schemas.microsoft.com/office/drawing/2014/main" id="{7CAC6F06-DF25-454E-B25C-EA171EAEA00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7" name="CaixaDeTexto 1706">
          <a:extLst>
            <a:ext uri="{FF2B5EF4-FFF2-40B4-BE49-F238E27FC236}">
              <a16:creationId xmlns:a16="http://schemas.microsoft.com/office/drawing/2014/main" id="{A50E3B6C-E6D7-407C-AFD1-C89440D1A05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8" name="CaixaDeTexto 1707">
          <a:extLst>
            <a:ext uri="{FF2B5EF4-FFF2-40B4-BE49-F238E27FC236}">
              <a16:creationId xmlns:a16="http://schemas.microsoft.com/office/drawing/2014/main" id="{DF59AD29-812D-434C-A6CD-30A99A9050B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09" name="CaixaDeTexto 1708">
          <a:extLst>
            <a:ext uri="{FF2B5EF4-FFF2-40B4-BE49-F238E27FC236}">
              <a16:creationId xmlns:a16="http://schemas.microsoft.com/office/drawing/2014/main" id="{872FA6B2-7DEA-4ECB-B6DB-E3EEC35ED68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0" name="CaixaDeTexto 1709">
          <a:extLst>
            <a:ext uri="{FF2B5EF4-FFF2-40B4-BE49-F238E27FC236}">
              <a16:creationId xmlns:a16="http://schemas.microsoft.com/office/drawing/2014/main" id="{4971EBA8-A3F6-4873-BD7E-EE52FAA73DB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1" name="CaixaDeTexto 1710">
          <a:extLst>
            <a:ext uri="{FF2B5EF4-FFF2-40B4-BE49-F238E27FC236}">
              <a16:creationId xmlns:a16="http://schemas.microsoft.com/office/drawing/2014/main" id="{1158B98C-5505-4901-8DA6-04A9EE4D554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2" name="CaixaDeTexto 1711">
          <a:extLst>
            <a:ext uri="{FF2B5EF4-FFF2-40B4-BE49-F238E27FC236}">
              <a16:creationId xmlns:a16="http://schemas.microsoft.com/office/drawing/2014/main" id="{2A3EABC1-8F98-40CD-B963-84072771463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3" name="CaixaDeTexto 1712">
          <a:extLst>
            <a:ext uri="{FF2B5EF4-FFF2-40B4-BE49-F238E27FC236}">
              <a16:creationId xmlns:a16="http://schemas.microsoft.com/office/drawing/2014/main" id="{92C4C5E9-B0F4-4ABC-A158-2162292A872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4" name="CaixaDeTexto 1713">
          <a:extLst>
            <a:ext uri="{FF2B5EF4-FFF2-40B4-BE49-F238E27FC236}">
              <a16:creationId xmlns:a16="http://schemas.microsoft.com/office/drawing/2014/main" id="{4D096137-5168-47FD-B9D4-7FD626CC20D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5" name="CaixaDeTexto 1714">
          <a:extLst>
            <a:ext uri="{FF2B5EF4-FFF2-40B4-BE49-F238E27FC236}">
              <a16:creationId xmlns:a16="http://schemas.microsoft.com/office/drawing/2014/main" id="{17B74AB8-652C-4625-9159-9456FC8A589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6" name="CaixaDeTexto 1715">
          <a:extLst>
            <a:ext uri="{FF2B5EF4-FFF2-40B4-BE49-F238E27FC236}">
              <a16:creationId xmlns:a16="http://schemas.microsoft.com/office/drawing/2014/main" id="{C5443F0C-B37A-44BA-8753-9356A8940C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7" name="CaixaDeTexto 1716">
          <a:extLst>
            <a:ext uri="{FF2B5EF4-FFF2-40B4-BE49-F238E27FC236}">
              <a16:creationId xmlns:a16="http://schemas.microsoft.com/office/drawing/2014/main" id="{8C70D29B-397B-47DB-A7EA-5D417DE4A63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8" name="CaixaDeTexto 1717">
          <a:extLst>
            <a:ext uri="{FF2B5EF4-FFF2-40B4-BE49-F238E27FC236}">
              <a16:creationId xmlns:a16="http://schemas.microsoft.com/office/drawing/2014/main" id="{E41323B3-7DF5-4679-871F-B84CF77DB0E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19" name="CaixaDeTexto 1718">
          <a:extLst>
            <a:ext uri="{FF2B5EF4-FFF2-40B4-BE49-F238E27FC236}">
              <a16:creationId xmlns:a16="http://schemas.microsoft.com/office/drawing/2014/main" id="{C829CE53-08A4-4465-92CC-BCC398C12E0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20" name="CaixaDeTexto 1719">
          <a:extLst>
            <a:ext uri="{FF2B5EF4-FFF2-40B4-BE49-F238E27FC236}">
              <a16:creationId xmlns:a16="http://schemas.microsoft.com/office/drawing/2014/main" id="{4996656A-B05C-448E-A184-F8607132AD0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21" name="CaixaDeTexto 1720">
          <a:extLst>
            <a:ext uri="{FF2B5EF4-FFF2-40B4-BE49-F238E27FC236}">
              <a16:creationId xmlns:a16="http://schemas.microsoft.com/office/drawing/2014/main" id="{3A6323BF-C169-44D3-803E-7E19BC2C20A7}"/>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2" name="CaixaDeTexto 1721">
          <a:extLst>
            <a:ext uri="{FF2B5EF4-FFF2-40B4-BE49-F238E27FC236}">
              <a16:creationId xmlns:a16="http://schemas.microsoft.com/office/drawing/2014/main" id="{D70777EC-43D9-49EB-BEEA-7DBB163ACA4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23" name="CaixaDeTexto 1722">
          <a:extLst>
            <a:ext uri="{FF2B5EF4-FFF2-40B4-BE49-F238E27FC236}">
              <a16:creationId xmlns:a16="http://schemas.microsoft.com/office/drawing/2014/main" id="{3F2DD2F1-8215-4C6A-A905-91A520E24955}"/>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4" name="CaixaDeTexto 1723">
          <a:extLst>
            <a:ext uri="{FF2B5EF4-FFF2-40B4-BE49-F238E27FC236}">
              <a16:creationId xmlns:a16="http://schemas.microsoft.com/office/drawing/2014/main" id="{10CF8F01-B6C9-4F56-BADF-F75437E01DE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5" name="CaixaDeTexto 1724">
          <a:extLst>
            <a:ext uri="{FF2B5EF4-FFF2-40B4-BE49-F238E27FC236}">
              <a16:creationId xmlns:a16="http://schemas.microsoft.com/office/drawing/2014/main" id="{169CD717-2847-4AD4-A976-7212AD6C870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6" name="CaixaDeTexto 1725">
          <a:extLst>
            <a:ext uri="{FF2B5EF4-FFF2-40B4-BE49-F238E27FC236}">
              <a16:creationId xmlns:a16="http://schemas.microsoft.com/office/drawing/2014/main" id="{6F91DD94-062A-4F91-8F5C-59099104705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7" name="CaixaDeTexto 1726">
          <a:extLst>
            <a:ext uri="{FF2B5EF4-FFF2-40B4-BE49-F238E27FC236}">
              <a16:creationId xmlns:a16="http://schemas.microsoft.com/office/drawing/2014/main" id="{D54935FC-5358-4357-BCFC-0C9C89B7C39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8" name="CaixaDeTexto 1727">
          <a:extLst>
            <a:ext uri="{FF2B5EF4-FFF2-40B4-BE49-F238E27FC236}">
              <a16:creationId xmlns:a16="http://schemas.microsoft.com/office/drawing/2014/main" id="{BF01FD52-B9DB-464B-A432-80500E6BADB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29" name="CaixaDeTexto 1728">
          <a:extLst>
            <a:ext uri="{FF2B5EF4-FFF2-40B4-BE49-F238E27FC236}">
              <a16:creationId xmlns:a16="http://schemas.microsoft.com/office/drawing/2014/main" id="{D516FA4B-5394-4577-AC0F-F9678D761FA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0" name="CaixaDeTexto 1729">
          <a:extLst>
            <a:ext uri="{FF2B5EF4-FFF2-40B4-BE49-F238E27FC236}">
              <a16:creationId xmlns:a16="http://schemas.microsoft.com/office/drawing/2014/main" id="{A3F2ED13-34E7-40B7-A698-DE99BA2688A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31" name="CaixaDeTexto 1730">
          <a:extLst>
            <a:ext uri="{FF2B5EF4-FFF2-40B4-BE49-F238E27FC236}">
              <a16:creationId xmlns:a16="http://schemas.microsoft.com/office/drawing/2014/main" id="{F2CB41B1-C9B3-4EF4-910C-D9B1FB25140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2" name="CaixaDeTexto 1731">
          <a:extLst>
            <a:ext uri="{FF2B5EF4-FFF2-40B4-BE49-F238E27FC236}">
              <a16:creationId xmlns:a16="http://schemas.microsoft.com/office/drawing/2014/main" id="{15EA7A39-8B70-4952-9D4E-53BFB6C7035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3" name="CaixaDeTexto 1732">
          <a:extLst>
            <a:ext uri="{FF2B5EF4-FFF2-40B4-BE49-F238E27FC236}">
              <a16:creationId xmlns:a16="http://schemas.microsoft.com/office/drawing/2014/main" id="{7D366543-427B-4D5D-A8CA-71C3E9920F9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4" name="CaixaDeTexto 1733">
          <a:extLst>
            <a:ext uri="{FF2B5EF4-FFF2-40B4-BE49-F238E27FC236}">
              <a16:creationId xmlns:a16="http://schemas.microsoft.com/office/drawing/2014/main" id="{77403E3A-4409-41D0-B971-344566D671B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5" name="CaixaDeTexto 1734">
          <a:extLst>
            <a:ext uri="{FF2B5EF4-FFF2-40B4-BE49-F238E27FC236}">
              <a16:creationId xmlns:a16="http://schemas.microsoft.com/office/drawing/2014/main" id="{944BF49D-4221-4018-A271-22375F46157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6" name="CaixaDeTexto 1735">
          <a:extLst>
            <a:ext uri="{FF2B5EF4-FFF2-40B4-BE49-F238E27FC236}">
              <a16:creationId xmlns:a16="http://schemas.microsoft.com/office/drawing/2014/main" id="{D9DFE18B-BDC4-42D0-B334-8864D40CE29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7" name="CaixaDeTexto 1736">
          <a:extLst>
            <a:ext uri="{FF2B5EF4-FFF2-40B4-BE49-F238E27FC236}">
              <a16:creationId xmlns:a16="http://schemas.microsoft.com/office/drawing/2014/main" id="{CDB77EC4-CB52-40EB-929B-C7801CAFDA8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8" name="CaixaDeTexto 1737">
          <a:extLst>
            <a:ext uri="{FF2B5EF4-FFF2-40B4-BE49-F238E27FC236}">
              <a16:creationId xmlns:a16="http://schemas.microsoft.com/office/drawing/2014/main" id="{D18E0DAC-D21E-4533-8203-6A965B187AF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39" name="CaixaDeTexto 1738">
          <a:extLst>
            <a:ext uri="{FF2B5EF4-FFF2-40B4-BE49-F238E27FC236}">
              <a16:creationId xmlns:a16="http://schemas.microsoft.com/office/drawing/2014/main" id="{CE7A9063-AC9F-42F2-A023-B93E8E8171B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40" name="CaixaDeTexto 1739">
          <a:extLst>
            <a:ext uri="{FF2B5EF4-FFF2-40B4-BE49-F238E27FC236}">
              <a16:creationId xmlns:a16="http://schemas.microsoft.com/office/drawing/2014/main" id="{A10116B7-10D8-4509-A0A2-F5A69E398D0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41" name="CaixaDeTexto 1740">
          <a:extLst>
            <a:ext uri="{FF2B5EF4-FFF2-40B4-BE49-F238E27FC236}">
              <a16:creationId xmlns:a16="http://schemas.microsoft.com/office/drawing/2014/main" id="{57D3C7BC-49C6-45F0-A4E0-87826F4E8E0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2" name="CaixaDeTexto 1741">
          <a:extLst>
            <a:ext uri="{FF2B5EF4-FFF2-40B4-BE49-F238E27FC236}">
              <a16:creationId xmlns:a16="http://schemas.microsoft.com/office/drawing/2014/main" id="{52AB5CE6-0B15-405D-AF24-4718B6C984F7}"/>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43" name="CaixaDeTexto 1742">
          <a:extLst>
            <a:ext uri="{FF2B5EF4-FFF2-40B4-BE49-F238E27FC236}">
              <a16:creationId xmlns:a16="http://schemas.microsoft.com/office/drawing/2014/main" id="{B6998D9A-2549-4A1A-A89B-D5C227A8EE6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4" name="CaixaDeTexto 1743">
          <a:extLst>
            <a:ext uri="{FF2B5EF4-FFF2-40B4-BE49-F238E27FC236}">
              <a16:creationId xmlns:a16="http://schemas.microsoft.com/office/drawing/2014/main" id="{2F2129B3-BBB7-47F1-A758-1EA526D1C7C9}"/>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5" name="CaixaDeTexto 1744">
          <a:extLst>
            <a:ext uri="{FF2B5EF4-FFF2-40B4-BE49-F238E27FC236}">
              <a16:creationId xmlns:a16="http://schemas.microsoft.com/office/drawing/2014/main" id="{D5E4BF9F-6E74-48AF-BBED-8D57A99A5A7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6" name="CaixaDeTexto 1745">
          <a:extLst>
            <a:ext uri="{FF2B5EF4-FFF2-40B4-BE49-F238E27FC236}">
              <a16:creationId xmlns:a16="http://schemas.microsoft.com/office/drawing/2014/main" id="{1229126F-19A4-402E-A959-594FD90F189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7" name="CaixaDeTexto 1746">
          <a:extLst>
            <a:ext uri="{FF2B5EF4-FFF2-40B4-BE49-F238E27FC236}">
              <a16:creationId xmlns:a16="http://schemas.microsoft.com/office/drawing/2014/main" id="{AC976BCB-1629-4677-B9D8-75D3CB1044D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8" name="CaixaDeTexto 1747">
          <a:extLst>
            <a:ext uri="{FF2B5EF4-FFF2-40B4-BE49-F238E27FC236}">
              <a16:creationId xmlns:a16="http://schemas.microsoft.com/office/drawing/2014/main" id="{4C4ABB6C-90C1-47A5-B89E-EDBC25A42515}"/>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49" name="CaixaDeTexto 1748">
          <a:extLst>
            <a:ext uri="{FF2B5EF4-FFF2-40B4-BE49-F238E27FC236}">
              <a16:creationId xmlns:a16="http://schemas.microsoft.com/office/drawing/2014/main" id="{ABC5BCDE-3D6E-48CB-8A18-15ED6D632276}"/>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50" name="CaixaDeTexto 1749">
          <a:extLst>
            <a:ext uri="{FF2B5EF4-FFF2-40B4-BE49-F238E27FC236}">
              <a16:creationId xmlns:a16="http://schemas.microsoft.com/office/drawing/2014/main" id="{94D76EEA-4E69-4A0A-94C9-4B019DB602E7}"/>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51" name="CaixaDeTexto 1750">
          <a:extLst>
            <a:ext uri="{FF2B5EF4-FFF2-40B4-BE49-F238E27FC236}">
              <a16:creationId xmlns:a16="http://schemas.microsoft.com/office/drawing/2014/main" id="{0A72EF3C-6FAE-4F68-8823-E83135EFC97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2" name="CaixaDeTexto 1751">
          <a:extLst>
            <a:ext uri="{FF2B5EF4-FFF2-40B4-BE49-F238E27FC236}">
              <a16:creationId xmlns:a16="http://schemas.microsoft.com/office/drawing/2014/main" id="{D8657FA6-8697-4547-9E69-7B0BAAD23B4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53" name="CaixaDeTexto 1752">
          <a:extLst>
            <a:ext uri="{FF2B5EF4-FFF2-40B4-BE49-F238E27FC236}">
              <a16:creationId xmlns:a16="http://schemas.microsoft.com/office/drawing/2014/main" id="{648DBDDF-6624-40AD-A113-359ED7427FA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4" name="CaixaDeTexto 1753">
          <a:extLst>
            <a:ext uri="{FF2B5EF4-FFF2-40B4-BE49-F238E27FC236}">
              <a16:creationId xmlns:a16="http://schemas.microsoft.com/office/drawing/2014/main" id="{48922555-7997-4A93-B6F0-DFF3A36C186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5" name="CaixaDeTexto 1754">
          <a:extLst>
            <a:ext uri="{FF2B5EF4-FFF2-40B4-BE49-F238E27FC236}">
              <a16:creationId xmlns:a16="http://schemas.microsoft.com/office/drawing/2014/main" id="{8F8A511B-EDA0-4412-9EF8-18B192C557A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6" name="CaixaDeTexto 1755">
          <a:extLst>
            <a:ext uri="{FF2B5EF4-FFF2-40B4-BE49-F238E27FC236}">
              <a16:creationId xmlns:a16="http://schemas.microsoft.com/office/drawing/2014/main" id="{4204B69B-55FD-4746-BE07-BD7A51BBED3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7" name="CaixaDeTexto 1756">
          <a:extLst>
            <a:ext uri="{FF2B5EF4-FFF2-40B4-BE49-F238E27FC236}">
              <a16:creationId xmlns:a16="http://schemas.microsoft.com/office/drawing/2014/main" id="{2C140FB0-4791-4CF2-9701-353E175B20F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8" name="CaixaDeTexto 1757">
          <a:extLst>
            <a:ext uri="{FF2B5EF4-FFF2-40B4-BE49-F238E27FC236}">
              <a16:creationId xmlns:a16="http://schemas.microsoft.com/office/drawing/2014/main" id="{8323EC83-3FEA-42EA-90E1-3B5C0C86837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59" name="CaixaDeTexto 1758">
          <a:extLst>
            <a:ext uri="{FF2B5EF4-FFF2-40B4-BE49-F238E27FC236}">
              <a16:creationId xmlns:a16="http://schemas.microsoft.com/office/drawing/2014/main" id="{9155597B-F10A-4508-BFCA-20F2DCAEAC7A}"/>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0" name="CaixaDeTexto 1759">
          <a:extLst>
            <a:ext uri="{FF2B5EF4-FFF2-40B4-BE49-F238E27FC236}">
              <a16:creationId xmlns:a16="http://schemas.microsoft.com/office/drawing/2014/main" id="{E913F73F-1E9D-4843-A244-91E88B270D1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61" name="CaixaDeTexto 1760">
          <a:extLst>
            <a:ext uri="{FF2B5EF4-FFF2-40B4-BE49-F238E27FC236}">
              <a16:creationId xmlns:a16="http://schemas.microsoft.com/office/drawing/2014/main" id="{4AADEA62-F131-42F0-9CBF-1E5BB79C977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2" name="CaixaDeTexto 1761">
          <a:extLst>
            <a:ext uri="{FF2B5EF4-FFF2-40B4-BE49-F238E27FC236}">
              <a16:creationId xmlns:a16="http://schemas.microsoft.com/office/drawing/2014/main" id="{A8563084-33CF-49BC-B2A0-DD0D882982B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763" name="CaixaDeTexto 1762">
          <a:extLst>
            <a:ext uri="{FF2B5EF4-FFF2-40B4-BE49-F238E27FC236}">
              <a16:creationId xmlns:a16="http://schemas.microsoft.com/office/drawing/2014/main" id="{80A5AAF7-F73A-4541-9DBD-A899B0DA711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4" name="CaixaDeTexto 1763">
          <a:extLst>
            <a:ext uri="{FF2B5EF4-FFF2-40B4-BE49-F238E27FC236}">
              <a16:creationId xmlns:a16="http://schemas.microsoft.com/office/drawing/2014/main" id="{5723DDDB-213E-43A2-B489-26383C5E7A8A}"/>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5" name="CaixaDeTexto 1764">
          <a:extLst>
            <a:ext uri="{FF2B5EF4-FFF2-40B4-BE49-F238E27FC236}">
              <a16:creationId xmlns:a16="http://schemas.microsoft.com/office/drawing/2014/main" id="{4F45E914-F1A0-4B72-BFD5-936C0E53996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6" name="CaixaDeTexto 1765">
          <a:extLst>
            <a:ext uri="{FF2B5EF4-FFF2-40B4-BE49-F238E27FC236}">
              <a16:creationId xmlns:a16="http://schemas.microsoft.com/office/drawing/2014/main" id="{804E1308-1486-4CC5-B574-1C9F1006617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7" name="CaixaDeTexto 1766">
          <a:extLst>
            <a:ext uri="{FF2B5EF4-FFF2-40B4-BE49-F238E27FC236}">
              <a16:creationId xmlns:a16="http://schemas.microsoft.com/office/drawing/2014/main" id="{AEA351C3-A027-434A-A246-184AA43EE5DB}"/>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8" name="CaixaDeTexto 1767">
          <a:extLst>
            <a:ext uri="{FF2B5EF4-FFF2-40B4-BE49-F238E27FC236}">
              <a16:creationId xmlns:a16="http://schemas.microsoft.com/office/drawing/2014/main" id="{5BA4DC68-B229-4AD8-BED9-B471BAFA8439}"/>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69" name="CaixaDeTexto 1768">
          <a:extLst>
            <a:ext uri="{FF2B5EF4-FFF2-40B4-BE49-F238E27FC236}">
              <a16:creationId xmlns:a16="http://schemas.microsoft.com/office/drawing/2014/main" id="{6BED1704-98A0-404E-9B5B-22B4C40B3D9B}"/>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70" name="CaixaDeTexto 1769">
          <a:extLst>
            <a:ext uri="{FF2B5EF4-FFF2-40B4-BE49-F238E27FC236}">
              <a16:creationId xmlns:a16="http://schemas.microsoft.com/office/drawing/2014/main" id="{3FB51B2E-775C-4E61-9DEB-9B7BC6B507A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771" name="CaixaDeTexto 1770">
          <a:extLst>
            <a:ext uri="{FF2B5EF4-FFF2-40B4-BE49-F238E27FC236}">
              <a16:creationId xmlns:a16="http://schemas.microsoft.com/office/drawing/2014/main" id="{80E8546F-98C9-4C02-A42D-1C25ADDE453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2" name="CaixaDeTexto 1771">
          <a:extLst>
            <a:ext uri="{FF2B5EF4-FFF2-40B4-BE49-F238E27FC236}">
              <a16:creationId xmlns:a16="http://schemas.microsoft.com/office/drawing/2014/main" id="{EEC7A23D-328B-41CE-8ED4-6E3E89E498D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3" name="CaixaDeTexto 1772">
          <a:extLst>
            <a:ext uri="{FF2B5EF4-FFF2-40B4-BE49-F238E27FC236}">
              <a16:creationId xmlns:a16="http://schemas.microsoft.com/office/drawing/2014/main" id="{BAD33830-AEB4-4B0E-B21D-F4847427C62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4" name="CaixaDeTexto 1773">
          <a:extLst>
            <a:ext uri="{FF2B5EF4-FFF2-40B4-BE49-F238E27FC236}">
              <a16:creationId xmlns:a16="http://schemas.microsoft.com/office/drawing/2014/main" id="{069F80E6-208B-4B40-A39A-895A38B7444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5" name="CaixaDeTexto 1774">
          <a:extLst>
            <a:ext uri="{FF2B5EF4-FFF2-40B4-BE49-F238E27FC236}">
              <a16:creationId xmlns:a16="http://schemas.microsoft.com/office/drawing/2014/main" id="{EEAD49CF-321A-43BD-BDA4-6F508DC3754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6" name="CaixaDeTexto 1775">
          <a:extLst>
            <a:ext uri="{FF2B5EF4-FFF2-40B4-BE49-F238E27FC236}">
              <a16:creationId xmlns:a16="http://schemas.microsoft.com/office/drawing/2014/main" id="{EDBF51A5-8CE5-49F3-96BF-8F68B89987A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7" name="CaixaDeTexto 1776">
          <a:extLst>
            <a:ext uri="{FF2B5EF4-FFF2-40B4-BE49-F238E27FC236}">
              <a16:creationId xmlns:a16="http://schemas.microsoft.com/office/drawing/2014/main" id="{350AD016-739E-42C6-AD2D-12B20675208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8" name="CaixaDeTexto 1777">
          <a:extLst>
            <a:ext uri="{FF2B5EF4-FFF2-40B4-BE49-F238E27FC236}">
              <a16:creationId xmlns:a16="http://schemas.microsoft.com/office/drawing/2014/main" id="{E7AA7756-E3D5-471F-B060-00A777B2B55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79" name="CaixaDeTexto 1778">
          <a:extLst>
            <a:ext uri="{FF2B5EF4-FFF2-40B4-BE49-F238E27FC236}">
              <a16:creationId xmlns:a16="http://schemas.microsoft.com/office/drawing/2014/main" id="{8D919DBE-F657-4A2A-84EF-B92AC518A20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80" name="CaixaDeTexto 1779">
          <a:extLst>
            <a:ext uri="{FF2B5EF4-FFF2-40B4-BE49-F238E27FC236}">
              <a16:creationId xmlns:a16="http://schemas.microsoft.com/office/drawing/2014/main" id="{A4294075-3B3D-4C4D-B2BD-9B5AA40F58A2}"/>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1" name="CaixaDeTexto 1780">
          <a:extLst>
            <a:ext uri="{FF2B5EF4-FFF2-40B4-BE49-F238E27FC236}">
              <a16:creationId xmlns:a16="http://schemas.microsoft.com/office/drawing/2014/main" id="{FBDBDCB3-BEBF-4DE0-BF2E-BE60EB91D8A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2" name="CaixaDeTexto 1781">
          <a:extLst>
            <a:ext uri="{FF2B5EF4-FFF2-40B4-BE49-F238E27FC236}">
              <a16:creationId xmlns:a16="http://schemas.microsoft.com/office/drawing/2014/main" id="{4547BD52-9285-48B9-AE24-7E42FC56F4E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3" name="CaixaDeTexto 1782">
          <a:extLst>
            <a:ext uri="{FF2B5EF4-FFF2-40B4-BE49-F238E27FC236}">
              <a16:creationId xmlns:a16="http://schemas.microsoft.com/office/drawing/2014/main" id="{9E17B787-0283-4D51-AC51-DF7DD8B22A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4" name="CaixaDeTexto 1783">
          <a:extLst>
            <a:ext uri="{FF2B5EF4-FFF2-40B4-BE49-F238E27FC236}">
              <a16:creationId xmlns:a16="http://schemas.microsoft.com/office/drawing/2014/main" id="{75018DBC-A400-4386-A719-31DEC72574F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5" name="CaixaDeTexto 1784">
          <a:extLst>
            <a:ext uri="{FF2B5EF4-FFF2-40B4-BE49-F238E27FC236}">
              <a16:creationId xmlns:a16="http://schemas.microsoft.com/office/drawing/2014/main" id="{D46AB53D-AA66-4D4C-A22D-A7B95A136FD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6" name="CaixaDeTexto 1785">
          <a:extLst>
            <a:ext uri="{FF2B5EF4-FFF2-40B4-BE49-F238E27FC236}">
              <a16:creationId xmlns:a16="http://schemas.microsoft.com/office/drawing/2014/main" id="{74638F08-70BD-4460-BF63-8DED20A4343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7" name="CaixaDeTexto 1786">
          <a:extLst>
            <a:ext uri="{FF2B5EF4-FFF2-40B4-BE49-F238E27FC236}">
              <a16:creationId xmlns:a16="http://schemas.microsoft.com/office/drawing/2014/main" id="{EE8B8779-351A-4CF1-BCA3-18D93B8430A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88" name="CaixaDeTexto 1787">
          <a:extLst>
            <a:ext uri="{FF2B5EF4-FFF2-40B4-BE49-F238E27FC236}">
              <a16:creationId xmlns:a16="http://schemas.microsoft.com/office/drawing/2014/main" id="{BAFDBE57-B249-472A-A5DD-D1849FFF34D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89" name="CaixaDeTexto 1788">
          <a:extLst>
            <a:ext uri="{FF2B5EF4-FFF2-40B4-BE49-F238E27FC236}">
              <a16:creationId xmlns:a16="http://schemas.microsoft.com/office/drawing/2014/main" id="{FDC6B575-D839-4FF0-BF03-2186B0C61976}"/>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0" name="CaixaDeTexto 1789">
          <a:extLst>
            <a:ext uri="{FF2B5EF4-FFF2-40B4-BE49-F238E27FC236}">
              <a16:creationId xmlns:a16="http://schemas.microsoft.com/office/drawing/2014/main" id="{94AF8D95-0E36-428C-A00C-074F9B1E2F5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1" name="CaixaDeTexto 1790">
          <a:extLst>
            <a:ext uri="{FF2B5EF4-FFF2-40B4-BE49-F238E27FC236}">
              <a16:creationId xmlns:a16="http://schemas.microsoft.com/office/drawing/2014/main" id="{EED1E27E-2809-455A-A2A4-6A086BE744F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2" name="CaixaDeTexto 1791">
          <a:extLst>
            <a:ext uri="{FF2B5EF4-FFF2-40B4-BE49-F238E27FC236}">
              <a16:creationId xmlns:a16="http://schemas.microsoft.com/office/drawing/2014/main" id="{D78E4369-F391-4251-842D-3D65E5A3DE5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3" name="CaixaDeTexto 1792">
          <a:extLst>
            <a:ext uri="{FF2B5EF4-FFF2-40B4-BE49-F238E27FC236}">
              <a16:creationId xmlns:a16="http://schemas.microsoft.com/office/drawing/2014/main" id="{FDE95593-B36A-474C-9FB9-7F5B27C9967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4" name="CaixaDeTexto 1793">
          <a:extLst>
            <a:ext uri="{FF2B5EF4-FFF2-40B4-BE49-F238E27FC236}">
              <a16:creationId xmlns:a16="http://schemas.microsoft.com/office/drawing/2014/main" id="{6C186DE4-8694-4518-97AB-DEEC7A52128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5" name="CaixaDeTexto 1794">
          <a:extLst>
            <a:ext uri="{FF2B5EF4-FFF2-40B4-BE49-F238E27FC236}">
              <a16:creationId xmlns:a16="http://schemas.microsoft.com/office/drawing/2014/main" id="{AE60701C-E636-4CCA-8F0A-8B16AAE148A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6" name="CaixaDeTexto 1795">
          <a:extLst>
            <a:ext uri="{FF2B5EF4-FFF2-40B4-BE49-F238E27FC236}">
              <a16:creationId xmlns:a16="http://schemas.microsoft.com/office/drawing/2014/main" id="{C939C7FA-E26F-4C61-B9C5-2A91E475386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7" name="CaixaDeTexto 1796">
          <a:extLst>
            <a:ext uri="{FF2B5EF4-FFF2-40B4-BE49-F238E27FC236}">
              <a16:creationId xmlns:a16="http://schemas.microsoft.com/office/drawing/2014/main" id="{9F16EFCB-0067-40FC-BC65-DBB3570D0BB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798" name="CaixaDeTexto 1797">
          <a:extLst>
            <a:ext uri="{FF2B5EF4-FFF2-40B4-BE49-F238E27FC236}">
              <a16:creationId xmlns:a16="http://schemas.microsoft.com/office/drawing/2014/main" id="{90293B1C-05D1-4341-BB5E-CDAB72BCDCD2}"/>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799" name="CaixaDeTexto 1798">
          <a:extLst>
            <a:ext uri="{FF2B5EF4-FFF2-40B4-BE49-F238E27FC236}">
              <a16:creationId xmlns:a16="http://schemas.microsoft.com/office/drawing/2014/main" id="{6934D157-333A-4692-9925-79B88E6E594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0" name="CaixaDeTexto 1799">
          <a:extLst>
            <a:ext uri="{FF2B5EF4-FFF2-40B4-BE49-F238E27FC236}">
              <a16:creationId xmlns:a16="http://schemas.microsoft.com/office/drawing/2014/main" id="{AFCD250F-16D9-451F-8362-8D116A3DA31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1" name="CaixaDeTexto 1800">
          <a:extLst>
            <a:ext uri="{FF2B5EF4-FFF2-40B4-BE49-F238E27FC236}">
              <a16:creationId xmlns:a16="http://schemas.microsoft.com/office/drawing/2014/main" id="{E6ADDD50-3E87-4EA6-B7B7-C667F115F1A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2" name="CaixaDeTexto 1801">
          <a:extLst>
            <a:ext uri="{FF2B5EF4-FFF2-40B4-BE49-F238E27FC236}">
              <a16:creationId xmlns:a16="http://schemas.microsoft.com/office/drawing/2014/main" id="{B0B633F3-6F07-4EBA-82E7-2318B2127FF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3" name="CaixaDeTexto 1802">
          <a:extLst>
            <a:ext uri="{FF2B5EF4-FFF2-40B4-BE49-F238E27FC236}">
              <a16:creationId xmlns:a16="http://schemas.microsoft.com/office/drawing/2014/main" id="{69601B17-EE2D-407A-A96E-187777661A1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4" name="CaixaDeTexto 1803">
          <a:extLst>
            <a:ext uri="{FF2B5EF4-FFF2-40B4-BE49-F238E27FC236}">
              <a16:creationId xmlns:a16="http://schemas.microsoft.com/office/drawing/2014/main" id="{F97DFCF3-A6A0-4E49-B4F2-A9331477BF8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5" name="CaixaDeTexto 1804">
          <a:extLst>
            <a:ext uri="{FF2B5EF4-FFF2-40B4-BE49-F238E27FC236}">
              <a16:creationId xmlns:a16="http://schemas.microsoft.com/office/drawing/2014/main" id="{0F8B524F-F793-4019-B931-753DB63DF67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6" name="CaixaDeTexto 1805">
          <a:extLst>
            <a:ext uri="{FF2B5EF4-FFF2-40B4-BE49-F238E27FC236}">
              <a16:creationId xmlns:a16="http://schemas.microsoft.com/office/drawing/2014/main" id="{7E4ACCB8-7E3C-4304-A84C-44391EBE65A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807" name="CaixaDeTexto 1806">
          <a:extLst>
            <a:ext uri="{FF2B5EF4-FFF2-40B4-BE49-F238E27FC236}">
              <a16:creationId xmlns:a16="http://schemas.microsoft.com/office/drawing/2014/main" id="{E2618B17-670C-4C82-9ABF-1499310BE33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8" name="CaixaDeTexto 1807">
          <a:extLst>
            <a:ext uri="{FF2B5EF4-FFF2-40B4-BE49-F238E27FC236}">
              <a16:creationId xmlns:a16="http://schemas.microsoft.com/office/drawing/2014/main" id="{23AE711A-1F30-4530-A5A5-EF1006B528B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09" name="CaixaDeTexto 1808">
          <a:extLst>
            <a:ext uri="{FF2B5EF4-FFF2-40B4-BE49-F238E27FC236}">
              <a16:creationId xmlns:a16="http://schemas.microsoft.com/office/drawing/2014/main" id="{4A8D382B-3648-4603-BDD8-00E40CC6761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0" name="CaixaDeTexto 1809">
          <a:extLst>
            <a:ext uri="{FF2B5EF4-FFF2-40B4-BE49-F238E27FC236}">
              <a16:creationId xmlns:a16="http://schemas.microsoft.com/office/drawing/2014/main" id="{EDCC2795-50CE-4A69-98C6-E8A13926EB9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1" name="CaixaDeTexto 1810">
          <a:extLst>
            <a:ext uri="{FF2B5EF4-FFF2-40B4-BE49-F238E27FC236}">
              <a16:creationId xmlns:a16="http://schemas.microsoft.com/office/drawing/2014/main" id="{E2F21782-8F6E-40DB-AA79-2EC3C1662A4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2" name="CaixaDeTexto 1811">
          <a:extLst>
            <a:ext uri="{FF2B5EF4-FFF2-40B4-BE49-F238E27FC236}">
              <a16:creationId xmlns:a16="http://schemas.microsoft.com/office/drawing/2014/main" id="{8AD2811B-9C68-4981-A421-1A6A069E4F8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3" name="CaixaDeTexto 1812">
          <a:extLst>
            <a:ext uri="{FF2B5EF4-FFF2-40B4-BE49-F238E27FC236}">
              <a16:creationId xmlns:a16="http://schemas.microsoft.com/office/drawing/2014/main" id="{9679E9B4-2B5A-473E-9BC8-6BBC6C54A2D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4" name="CaixaDeTexto 1813">
          <a:extLst>
            <a:ext uri="{FF2B5EF4-FFF2-40B4-BE49-F238E27FC236}">
              <a16:creationId xmlns:a16="http://schemas.microsoft.com/office/drawing/2014/main" id="{B874C122-D672-43B7-ADD1-A96ABDBBAF4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5" name="CaixaDeTexto 1814">
          <a:extLst>
            <a:ext uri="{FF2B5EF4-FFF2-40B4-BE49-F238E27FC236}">
              <a16:creationId xmlns:a16="http://schemas.microsoft.com/office/drawing/2014/main" id="{763B97D4-4890-4A35-853C-5C021217B83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816" name="CaixaDeTexto 1815">
          <a:extLst>
            <a:ext uri="{FF2B5EF4-FFF2-40B4-BE49-F238E27FC236}">
              <a16:creationId xmlns:a16="http://schemas.microsoft.com/office/drawing/2014/main" id="{0E6EC1D7-9496-49C2-AC9A-6006621BA48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7" name="CaixaDeTexto 1816">
          <a:extLst>
            <a:ext uri="{FF2B5EF4-FFF2-40B4-BE49-F238E27FC236}">
              <a16:creationId xmlns:a16="http://schemas.microsoft.com/office/drawing/2014/main" id="{02D9BA23-C327-4E30-B146-35B5A1874BD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8" name="CaixaDeTexto 1817">
          <a:extLst>
            <a:ext uri="{FF2B5EF4-FFF2-40B4-BE49-F238E27FC236}">
              <a16:creationId xmlns:a16="http://schemas.microsoft.com/office/drawing/2014/main" id="{40CFACC1-20D0-4235-B80B-52961546C8A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19" name="CaixaDeTexto 1818">
          <a:extLst>
            <a:ext uri="{FF2B5EF4-FFF2-40B4-BE49-F238E27FC236}">
              <a16:creationId xmlns:a16="http://schemas.microsoft.com/office/drawing/2014/main" id="{93A63D59-F816-4174-A98B-430F8EE6F4D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20" name="CaixaDeTexto 1819">
          <a:extLst>
            <a:ext uri="{FF2B5EF4-FFF2-40B4-BE49-F238E27FC236}">
              <a16:creationId xmlns:a16="http://schemas.microsoft.com/office/drawing/2014/main" id="{90CD2B2C-0BEB-4CEA-A910-33105E5BAA1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21" name="CaixaDeTexto 1820">
          <a:extLst>
            <a:ext uri="{FF2B5EF4-FFF2-40B4-BE49-F238E27FC236}">
              <a16:creationId xmlns:a16="http://schemas.microsoft.com/office/drawing/2014/main" id="{5C1DA55E-CA09-487D-8BC5-EBF9AF5EA3F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22" name="CaixaDeTexto 1821">
          <a:extLst>
            <a:ext uri="{FF2B5EF4-FFF2-40B4-BE49-F238E27FC236}">
              <a16:creationId xmlns:a16="http://schemas.microsoft.com/office/drawing/2014/main" id="{FDE3BCA2-9079-4710-9071-ACD14D5047E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1823" name="CaixaDeTexto 1822">
          <a:extLst>
            <a:ext uri="{FF2B5EF4-FFF2-40B4-BE49-F238E27FC236}">
              <a16:creationId xmlns:a16="http://schemas.microsoft.com/office/drawing/2014/main" id="{307546E7-DA00-41C6-8C06-83FF95776A8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1824" name="CaixaDeTexto 1823">
          <a:extLst>
            <a:ext uri="{FF2B5EF4-FFF2-40B4-BE49-F238E27FC236}">
              <a16:creationId xmlns:a16="http://schemas.microsoft.com/office/drawing/2014/main" id="{C6C9EE97-73E7-42E6-AB63-6A343C33D584}"/>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25" name="CaixaDeTexto 1824">
          <a:extLst>
            <a:ext uri="{FF2B5EF4-FFF2-40B4-BE49-F238E27FC236}">
              <a16:creationId xmlns:a16="http://schemas.microsoft.com/office/drawing/2014/main" id="{288C8B90-6F4A-4359-BDC2-4EE3A078E74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26" name="CaixaDeTexto 1825">
          <a:extLst>
            <a:ext uri="{FF2B5EF4-FFF2-40B4-BE49-F238E27FC236}">
              <a16:creationId xmlns:a16="http://schemas.microsoft.com/office/drawing/2014/main" id="{74CF4E56-12C9-4849-BBFC-9999E03A372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27" name="CaixaDeTexto 1826">
          <a:extLst>
            <a:ext uri="{FF2B5EF4-FFF2-40B4-BE49-F238E27FC236}">
              <a16:creationId xmlns:a16="http://schemas.microsoft.com/office/drawing/2014/main" id="{F5DAEF87-079D-4BBC-A6BA-F4BAEDFF967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28" name="CaixaDeTexto 1827">
          <a:extLst>
            <a:ext uri="{FF2B5EF4-FFF2-40B4-BE49-F238E27FC236}">
              <a16:creationId xmlns:a16="http://schemas.microsoft.com/office/drawing/2014/main" id="{42C5F0FC-781E-4576-9F38-9D2E823043F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29" name="CaixaDeTexto 1828">
          <a:extLst>
            <a:ext uri="{FF2B5EF4-FFF2-40B4-BE49-F238E27FC236}">
              <a16:creationId xmlns:a16="http://schemas.microsoft.com/office/drawing/2014/main" id="{FACB8D59-FD26-41DD-9077-BD3CD5159E5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0" name="CaixaDeTexto 1829">
          <a:extLst>
            <a:ext uri="{FF2B5EF4-FFF2-40B4-BE49-F238E27FC236}">
              <a16:creationId xmlns:a16="http://schemas.microsoft.com/office/drawing/2014/main" id="{7F7FFE1D-A374-4D47-8E4D-FFE12AF28EA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1" name="CaixaDeTexto 1830">
          <a:extLst>
            <a:ext uri="{FF2B5EF4-FFF2-40B4-BE49-F238E27FC236}">
              <a16:creationId xmlns:a16="http://schemas.microsoft.com/office/drawing/2014/main" id="{5CD89B20-FC2F-4304-B249-7BEEF2BE18D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2" name="CaixaDeTexto 1831">
          <a:extLst>
            <a:ext uri="{FF2B5EF4-FFF2-40B4-BE49-F238E27FC236}">
              <a16:creationId xmlns:a16="http://schemas.microsoft.com/office/drawing/2014/main" id="{2E21ADCF-7403-4B1C-A6E5-72EEEF94638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3" name="CaixaDeTexto 1832">
          <a:extLst>
            <a:ext uri="{FF2B5EF4-FFF2-40B4-BE49-F238E27FC236}">
              <a16:creationId xmlns:a16="http://schemas.microsoft.com/office/drawing/2014/main" id="{6801C107-F5F4-497B-A40B-0EA43E25BAA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4" name="CaixaDeTexto 1833">
          <a:extLst>
            <a:ext uri="{FF2B5EF4-FFF2-40B4-BE49-F238E27FC236}">
              <a16:creationId xmlns:a16="http://schemas.microsoft.com/office/drawing/2014/main" id="{81695F17-FD66-4E5D-951C-545F5696E8F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5" name="CaixaDeTexto 1834">
          <a:extLst>
            <a:ext uri="{FF2B5EF4-FFF2-40B4-BE49-F238E27FC236}">
              <a16:creationId xmlns:a16="http://schemas.microsoft.com/office/drawing/2014/main" id="{479F81AF-6D99-4E3E-911E-369FDDF0B68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6" name="CaixaDeTexto 1835">
          <a:extLst>
            <a:ext uri="{FF2B5EF4-FFF2-40B4-BE49-F238E27FC236}">
              <a16:creationId xmlns:a16="http://schemas.microsoft.com/office/drawing/2014/main" id="{F6042BE3-8B2F-41D1-BAC7-A6A3AFB942E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7" name="CaixaDeTexto 1836">
          <a:extLst>
            <a:ext uri="{FF2B5EF4-FFF2-40B4-BE49-F238E27FC236}">
              <a16:creationId xmlns:a16="http://schemas.microsoft.com/office/drawing/2014/main" id="{B1C7FACB-8A40-4FCB-B217-F26A4225C44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8" name="CaixaDeTexto 1837">
          <a:extLst>
            <a:ext uri="{FF2B5EF4-FFF2-40B4-BE49-F238E27FC236}">
              <a16:creationId xmlns:a16="http://schemas.microsoft.com/office/drawing/2014/main" id="{6C4E57DD-B7CC-4894-9928-71926074EB6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39" name="CaixaDeTexto 1838">
          <a:extLst>
            <a:ext uri="{FF2B5EF4-FFF2-40B4-BE49-F238E27FC236}">
              <a16:creationId xmlns:a16="http://schemas.microsoft.com/office/drawing/2014/main" id="{586CF708-A05F-4657-887D-B2A01445296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0" name="CaixaDeTexto 1839">
          <a:extLst>
            <a:ext uri="{FF2B5EF4-FFF2-40B4-BE49-F238E27FC236}">
              <a16:creationId xmlns:a16="http://schemas.microsoft.com/office/drawing/2014/main" id="{06C805CF-0941-4907-9D51-D5F6589F076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1" name="CaixaDeTexto 1840">
          <a:extLst>
            <a:ext uri="{FF2B5EF4-FFF2-40B4-BE49-F238E27FC236}">
              <a16:creationId xmlns:a16="http://schemas.microsoft.com/office/drawing/2014/main" id="{BB9561AA-A284-459A-B256-EACAC4B609A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2" name="CaixaDeTexto 1841">
          <a:extLst>
            <a:ext uri="{FF2B5EF4-FFF2-40B4-BE49-F238E27FC236}">
              <a16:creationId xmlns:a16="http://schemas.microsoft.com/office/drawing/2014/main" id="{33AEC4AC-F09C-4AD9-BBE8-EC9895867D4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3" name="CaixaDeTexto 1842">
          <a:extLst>
            <a:ext uri="{FF2B5EF4-FFF2-40B4-BE49-F238E27FC236}">
              <a16:creationId xmlns:a16="http://schemas.microsoft.com/office/drawing/2014/main" id="{8378D8D3-BC4D-4F54-83EE-10A16EAD1A4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4" name="CaixaDeTexto 1843">
          <a:extLst>
            <a:ext uri="{FF2B5EF4-FFF2-40B4-BE49-F238E27FC236}">
              <a16:creationId xmlns:a16="http://schemas.microsoft.com/office/drawing/2014/main" id="{A331B8D0-EBC0-40D3-AE75-5EF3B2B7D92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5" name="CaixaDeTexto 1844">
          <a:extLst>
            <a:ext uri="{FF2B5EF4-FFF2-40B4-BE49-F238E27FC236}">
              <a16:creationId xmlns:a16="http://schemas.microsoft.com/office/drawing/2014/main" id="{F19A39AC-A21F-48A5-821C-0B96ED0D7F6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6" name="CaixaDeTexto 1845">
          <a:extLst>
            <a:ext uri="{FF2B5EF4-FFF2-40B4-BE49-F238E27FC236}">
              <a16:creationId xmlns:a16="http://schemas.microsoft.com/office/drawing/2014/main" id="{BE8789A5-FACE-474D-BBD7-5EF0125E0EC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7" name="CaixaDeTexto 1846">
          <a:extLst>
            <a:ext uri="{FF2B5EF4-FFF2-40B4-BE49-F238E27FC236}">
              <a16:creationId xmlns:a16="http://schemas.microsoft.com/office/drawing/2014/main" id="{EE8680D4-F39A-41A1-96C1-BEC18C45562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8" name="CaixaDeTexto 1847">
          <a:extLst>
            <a:ext uri="{FF2B5EF4-FFF2-40B4-BE49-F238E27FC236}">
              <a16:creationId xmlns:a16="http://schemas.microsoft.com/office/drawing/2014/main" id="{0AD0624C-DBF7-4001-9FFB-FAFB1A51970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49" name="CaixaDeTexto 1848">
          <a:extLst>
            <a:ext uri="{FF2B5EF4-FFF2-40B4-BE49-F238E27FC236}">
              <a16:creationId xmlns:a16="http://schemas.microsoft.com/office/drawing/2014/main" id="{9E20A8D0-6CFA-4D9E-B029-D6A00116E92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0" name="CaixaDeTexto 1849">
          <a:extLst>
            <a:ext uri="{FF2B5EF4-FFF2-40B4-BE49-F238E27FC236}">
              <a16:creationId xmlns:a16="http://schemas.microsoft.com/office/drawing/2014/main" id="{CB73C3AA-555F-49F1-AD8F-7E86C279CFB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1" name="CaixaDeTexto 1850">
          <a:extLst>
            <a:ext uri="{FF2B5EF4-FFF2-40B4-BE49-F238E27FC236}">
              <a16:creationId xmlns:a16="http://schemas.microsoft.com/office/drawing/2014/main" id="{8D216D82-27B6-4293-B2EA-E56C7EDEEE3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2" name="CaixaDeTexto 1851">
          <a:extLst>
            <a:ext uri="{FF2B5EF4-FFF2-40B4-BE49-F238E27FC236}">
              <a16:creationId xmlns:a16="http://schemas.microsoft.com/office/drawing/2014/main" id="{DCCBFE18-BB25-462F-9949-1F7A833A3E5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3" name="CaixaDeTexto 1852">
          <a:extLst>
            <a:ext uri="{FF2B5EF4-FFF2-40B4-BE49-F238E27FC236}">
              <a16:creationId xmlns:a16="http://schemas.microsoft.com/office/drawing/2014/main" id="{09953E13-963C-40E6-8A23-503D7F6367A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4" name="CaixaDeTexto 1853">
          <a:extLst>
            <a:ext uri="{FF2B5EF4-FFF2-40B4-BE49-F238E27FC236}">
              <a16:creationId xmlns:a16="http://schemas.microsoft.com/office/drawing/2014/main" id="{25619D5D-E0E3-4F29-8452-8FE2518C41F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5" name="CaixaDeTexto 1854">
          <a:extLst>
            <a:ext uri="{FF2B5EF4-FFF2-40B4-BE49-F238E27FC236}">
              <a16:creationId xmlns:a16="http://schemas.microsoft.com/office/drawing/2014/main" id="{8E1B4B6E-EB8C-4AD6-8C08-8393EC1D3D4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6" name="CaixaDeTexto 1855">
          <a:extLst>
            <a:ext uri="{FF2B5EF4-FFF2-40B4-BE49-F238E27FC236}">
              <a16:creationId xmlns:a16="http://schemas.microsoft.com/office/drawing/2014/main" id="{DE0474E7-6395-4BF2-B3FD-2B6C999867C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7" name="CaixaDeTexto 1856">
          <a:extLst>
            <a:ext uri="{FF2B5EF4-FFF2-40B4-BE49-F238E27FC236}">
              <a16:creationId xmlns:a16="http://schemas.microsoft.com/office/drawing/2014/main" id="{A8D07F40-97B5-4CEA-BA21-584DABDF225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8" name="CaixaDeTexto 1857">
          <a:extLst>
            <a:ext uri="{FF2B5EF4-FFF2-40B4-BE49-F238E27FC236}">
              <a16:creationId xmlns:a16="http://schemas.microsoft.com/office/drawing/2014/main" id="{4E620DD6-176E-406C-9099-01EFE378C54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59" name="CaixaDeTexto 1858">
          <a:extLst>
            <a:ext uri="{FF2B5EF4-FFF2-40B4-BE49-F238E27FC236}">
              <a16:creationId xmlns:a16="http://schemas.microsoft.com/office/drawing/2014/main" id="{257779E1-3541-4A28-A28D-36BD77E1EFC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0" name="CaixaDeTexto 1859">
          <a:extLst>
            <a:ext uri="{FF2B5EF4-FFF2-40B4-BE49-F238E27FC236}">
              <a16:creationId xmlns:a16="http://schemas.microsoft.com/office/drawing/2014/main" id="{90764865-53B8-423A-8B56-0802B0F790F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1" name="CaixaDeTexto 1860">
          <a:extLst>
            <a:ext uri="{FF2B5EF4-FFF2-40B4-BE49-F238E27FC236}">
              <a16:creationId xmlns:a16="http://schemas.microsoft.com/office/drawing/2014/main" id="{09B14030-8576-491A-9FC4-608BFAF9EA1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2" name="CaixaDeTexto 1861">
          <a:extLst>
            <a:ext uri="{FF2B5EF4-FFF2-40B4-BE49-F238E27FC236}">
              <a16:creationId xmlns:a16="http://schemas.microsoft.com/office/drawing/2014/main" id="{85B092BF-1CC7-44D9-9918-F360F8F22CC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3" name="CaixaDeTexto 1862">
          <a:extLst>
            <a:ext uri="{FF2B5EF4-FFF2-40B4-BE49-F238E27FC236}">
              <a16:creationId xmlns:a16="http://schemas.microsoft.com/office/drawing/2014/main" id="{01D90988-7D89-4513-900D-8116A2A850E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4" name="CaixaDeTexto 1863">
          <a:extLst>
            <a:ext uri="{FF2B5EF4-FFF2-40B4-BE49-F238E27FC236}">
              <a16:creationId xmlns:a16="http://schemas.microsoft.com/office/drawing/2014/main" id="{4D28DD81-A1A9-4709-9065-2B8A5D5DDD5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5" name="CaixaDeTexto 1864">
          <a:extLst>
            <a:ext uri="{FF2B5EF4-FFF2-40B4-BE49-F238E27FC236}">
              <a16:creationId xmlns:a16="http://schemas.microsoft.com/office/drawing/2014/main" id="{49F1EE99-2977-4D34-9059-A6A70A83155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6" name="CaixaDeTexto 1865">
          <a:extLst>
            <a:ext uri="{FF2B5EF4-FFF2-40B4-BE49-F238E27FC236}">
              <a16:creationId xmlns:a16="http://schemas.microsoft.com/office/drawing/2014/main" id="{10E32139-5B5E-40EC-8325-A9B08998A4C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7" name="CaixaDeTexto 1866">
          <a:extLst>
            <a:ext uri="{FF2B5EF4-FFF2-40B4-BE49-F238E27FC236}">
              <a16:creationId xmlns:a16="http://schemas.microsoft.com/office/drawing/2014/main" id="{916021C5-CA65-4A88-9C61-DFADC69777C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8" name="CaixaDeTexto 1867">
          <a:extLst>
            <a:ext uri="{FF2B5EF4-FFF2-40B4-BE49-F238E27FC236}">
              <a16:creationId xmlns:a16="http://schemas.microsoft.com/office/drawing/2014/main" id="{DC2B32E9-CB06-4700-848B-3AC4BFD801D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69" name="CaixaDeTexto 1868">
          <a:extLst>
            <a:ext uri="{FF2B5EF4-FFF2-40B4-BE49-F238E27FC236}">
              <a16:creationId xmlns:a16="http://schemas.microsoft.com/office/drawing/2014/main" id="{1D9F1FD2-9642-480E-88DE-945AD951A3A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0" name="CaixaDeTexto 1869">
          <a:extLst>
            <a:ext uri="{FF2B5EF4-FFF2-40B4-BE49-F238E27FC236}">
              <a16:creationId xmlns:a16="http://schemas.microsoft.com/office/drawing/2014/main" id="{E5DF29F2-9004-4F89-85C7-DC6A473412D7}"/>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1" name="CaixaDeTexto 1870">
          <a:extLst>
            <a:ext uri="{FF2B5EF4-FFF2-40B4-BE49-F238E27FC236}">
              <a16:creationId xmlns:a16="http://schemas.microsoft.com/office/drawing/2014/main" id="{D80E57D3-C37E-40C1-8338-66AE44D06087}"/>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72" name="CaixaDeTexto 1871">
          <a:extLst>
            <a:ext uri="{FF2B5EF4-FFF2-40B4-BE49-F238E27FC236}">
              <a16:creationId xmlns:a16="http://schemas.microsoft.com/office/drawing/2014/main" id="{0202281C-A957-499F-8516-19E9BDA3746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3" name="CaixaDeTexto 1872">
          <a:extLst>
            <a:ext uri="{FF2B5EF4-FFF2-40B4-BE49-F238E27FC236}">
              <a16:creationId xmlns:a16="http://schemas.microsoft.com/office/drawing/2014/main" id="{428C19CA-45B1-4798-96AA-17916A0E3B6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74" name="CaixaDeTexto 1873">
          <a:extLst>
            <a:ext uri="{FF2B5EF4-FFF2-40B4-BE49-F238E27FC236}">
              <a16:creationId xmlns:a16="http://schemas.microsoft.com/office/drawing/2014/main" id="{C1FAA20D-1078-414D-BF13-8FC22186E56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5" name="CaixaDeTexto 1874">
          <a:extLst>
            <a:ext uri="{FF2B5EF4-FFF2-40B4-BE49-F238E27FC236}">
              <a16:creationId xmlns:a16="http://schemas.microsoft.com/office/drawing/2014/main" id="{45765759-5B0F-4342-8094-F85C6BD2C419}"/>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6" name="CaixaDeTexto 1875">
          <a:extLst>
            <a:ext uri="{FF2B5EF4-FFF2-40B4-BE49-F238E27FC236}">
              <a16:creationId xmlns:a16="http://schemas.microsoft.com/office/drawing/2014/main" id="{4F29CBEB-0B0F-4BBE-97FE-B46E0E0655A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7" name="CaixaDeTexto 1876">
          <a:extLst>
            <a:ext uri="{FF2B5EF4-FFF2-40B4-BE49-F238E27FC236}">
              <a16:creationId xmlns:a16="http://schemas.microsoft.com/office/drawing/2014/main" id="{97DD7802-2FE8-4614-A1B6-3A5C5636F619}"/>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8" name="CaixaDeTexto 1877">
          <a:extLst>
            <a:ext uri="{FF2B5EF4-FFF2-40B4-BE49-F238E27FC236}">
              <a16:creationId xmlns:a16="http://schemas.microsoft.com/office/drawing/2014/main" id="{35812C06-B9BF-406B-A0EA-6BE964A871B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79" name="CaixaDeTexto 1878">
          <a:extLst>
            <a:ext uri="{FF2B5EF4-FFF2-40B4-BE49-F238E27FC236}">
              <a16:creationId xmlns:a16="http://schemas.microsoft.com/office/drawing/2014/main" id="{AD08D95B-8DAE-4EDC-B1DC-8958AF1C8B2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80" name="CaixaDeTexto 1879">
          <a:extLst>
            <a:ext uri="{FF2B5EF4-FFF2-40B4-BE49-F238E27FC236}">
              <a16:creationId xmlns:a16="http://schemas.microsoft.com/office/drawing/2014/main" id="{9868BD1D-D9DA-4850-8B5E-15943AAD59D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881" name="CaixaDeTexto 1880">
          <a:extLst>
            <a:ext uri="{FF2B5EF4-FFF2-40B4-BE49-F238E27FC236}">
              <a16:creationId xmlns:a16="http://schemas.microsoft.com/office/drawing/2014/main" id="{863C3A60-E4FD-446E-A186-F2D9285C7A3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2" name="CaixaDeTexto 1881">
          <a:extLst>
            <a:ext uri="{FF2B5EF4-FFF2-40B4-BE49-F238E27FC236}">
              <a16:creationId xmlns:a16="http://schemas.microsoft.com/office/drawing/2014/main" id="{125D4E65-920D-4C78-BE49-E103AC43EFA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3" name="CaixaDeTexto 1882">
          <a:extLst>
            <a:ext uri="{FF2B5EF4-FFF2-40B4-BE49-F238E27FC236}">
              <a16:creationId xmlns:a16="http://schemas.microsoft.com/office/drawing/2014/main" id="{84484144-C8EF-4956-B6C7-5D7C9ADFEB9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4" name="CaixaDeTexto 1883">
          <a:extLst>
            <a:ext uri="{FF2B5EF4-FFF2-40B4-BE49-F238E27FC236}">
              <a16:creationId xmlns:a16="http://schemas.microsoft.com/office/drawing/2014/main" id="{076A6941-0BB0-47A2-BF2F-B923508DE0F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5" name="CaixaDeTexto 1884">
          <a:extLst>
            <a:ext uri="{FF2B5EF4-FFF2-40B4-BE49-F238E27FC236}">
              <a16:creationId xmlns:a16="http://schemas.microsoft.com/office/drawing/2014/main" id="{F344A785-BFE5-458B-B3FD-9C863EDB38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6" name="CaixaDeTexto 1885">
          <a:extLst>
            <a:ext uri="{FF2B5EF4-FFF2-40B4-BE49-F238E27FC236}">
              <a16:creationId xmlns:a16="http://schemas.microsoft.com/office/drawing/2014/main" id="{BC98E80B-3655-4087-BBB2-0F0AE6825E5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7" name="CaixaDeTexto 1886">
          <a:extLst>
            <a:ext uri="{FF2B5EF4-FFF2-40B4-BE49-F238E27FC236}">
              <a16:creationId xmlns:a16="http://schemas.microsoft.com/office/drawing/2014/main" id="{10C239F2-EF2E-49BD-BD81-3C45C2D7A3F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8" name="CaixaDeTexto 1887">
          <a:extLst>
            <a:ext uri="{FF2B5EF4-FFF2-40B4-BE49-F238E27FC236}">
              <a16:creationId xmlns:a16="http://schemas.microsoft.com/office/drawing/2014/main" id="{00196057-F115-44C6-8477-8C8BFF13AD9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89" name="CaixaDeTexto 1888">
          <a:extLst>
            <a:ext uri="{FF2B5EF4-FFF2-40B4-BE49-F238E27FC236}">
              <a16:creationId xmlns:a16="http://schemas.microsoft.com/office/drawing/2014/main" id="{087D1998-23AE-4E16-AF8D-3F6780319D3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0" name="CaixaDeTexto 1889">
          <a:extLst>
            <a:ext uri="{FF2B5EF4-FFF2-40B4-BE49-F238E27FC236}">
              <a16:creationId xmlns:a16="http://schemas.microsoft.com/office/drawing/2014/main" id="{EBD4971B-22EF-443A-B4CF-C4A3E3C3E80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1" name="CaixaDeTexto 1890">
          <a:extLst>
            <a:ext uri="{FF2B5EF4-FFF2-40B4-BE49-F238E27FC236}">
              <a16:creationId xmlns:a16="http://schemas.microsoft.com/office/drawing/2014/main" id="{11D0EA92-5585-4BD3-83E8-E211A991EAA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2" name="CaixaDeTexto 1891">
          <a:extLst>
            <a:ext uri="{FF2B5EF4-FFF2-40B4-BE49-F238E27FC236}">
              <a16:creationId xmlns:a16="http://schemas.microsoft.com/office/drawing/2014/main" id="{FF6A0115-A097-45A1-AA08-F26965E8CE8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3" name="CaixaDeTexto 1892">
          <a:extLst>
            <a:ext uri="{FF2B5EF4-FFF2-40B4-BE49-F238E27FC236}">
              <a16:creationId xmlns:a16="http://schemas.microsoft.com/office/drawing/2014/main" id="{6003890F-DD01-4FBC-A489-19A0FB8B3C1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4" name="CaixaDeTexto 1893">
          <a:extLst>
            <a:ext uri="{FF2B5EF4-FFF2-40B4-BE49-F238E27FC236}">
              <a16:creationId xmlns:a16="http://schemas.microsoft.com/office/drawing/2014/main" id="{5A0994AD-A7AC-48AB-A9D7-5EB26A9A732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5" name="CaixaDeTexto 1894">
          <a:extLst>
            <a:ext uri="{FF2B5EF4-FFF2-40B4-BE49-F238E27FC236}">
              <a16:creationId xmlns:a16="http://schemas.microsoft.com/office/drawing/2014/main" id="{083A6702-8122-4EF5-8CD2-0798E1AC363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6" name="CaixaDeTexto 1895">
          <a:extLst>
            <a:ext uri="{FF2B5EF4-FFF2-40B4-BE49-F238E27FC236}">
              <a16:creationId xmlns:a16="http://schemas.microsoft.com/office/drawing/2014/main" id="{F0FFBC0E-4355-46B0-9560-3F5316A1235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7" name="CaixaDeTexto 1896">
          <a:extLst>
            <a:ext uri="{FF2B5EF4-FFF2-40B4-BE49-F238E27FC236}">
              <a16:creationId xmlns:a16="http://schemas.microsoft.com/office/drawing/2014/main" id="{F1373359-61AF-4DCA-9C7A-AB7E8E8F9F0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8" name="CaixaDeTexto 1897">
          <a:extLst>
            <a:ext uri="{FF2B5EF4-FFF2-40B4-BE49-F238E27FC236}">
              <a16:creationId xmlns:a16="http://schemas.microsoft.com/office/drawing/2014/main" id="{812C77B2-314E-455C-A409-C86E274CD5D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899" name="CaixaDeTexto 1898">
          <a:extLst>
            <a:ext uri="{FF2B5EF4-FFF2-40B4-BE49-F238E27FC236}">
              <a16:creationId xmlns:a16="http://schemas.microsoft.com/office/drawing/2014/main" id="{C50E8110-D6F1-4200-A3F0-584AD2DC6DF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0" name="CaixaDeTexto 1899">
          <a:extLst>
            <a:ext uri="{FF2B5EF4-FFF2-40B4-BE49-F238E27FC236}">
              <a16:creationId xmlns:a16="http://schemas.microsoft.com/office/drawing/2014/main" id="{4BF42481-E9AB-4CE1-B61B-33D2932503B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1" name="CaixaDeTexto 1900">
          <a:extLst>
            <a:ext uri="{FF2B5EF4-FFF2-40B4-BE49-F238E27FC236}">
              <a16:creationId xmlns:a16="http://schemas.microsoft.com/office/drawing/2014/main" id="{C6C94FE7-9944-42FA-AB23-540BC6913BB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2" name="CaixaDeTexto 1901">
          <a:extLst>
            <a:ext uri="{FF2B5EF4-FFF2-40B4-BE49-F238E27FC236}">
              <a16:creationId xmlns:a16="http://schemas.microsoft.com/office/drawing/2014/main" id="{8E089011-7005-4DAC-A2A4-A17656BE398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3" name="CaixaDeTexto 1902">
          <a:extLst>
            <a:ext uri="{FF2B5EF4-FFF2-40B4-BE49-F238E27FC236}">
              <a16:creationId xmlns:a16="http://schemas.microsoft.com/office/drawing/2014/main" id="{ECA367BE-3E64-4A9D-9531-358C7DEC6C8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4" name="CaixaDeTexto 1903">
          <a:extLst>
            <a:ext uri="{FF2B5EF4-FFF2-40B4-BE49-F238E27FC236}">
              <a16:creationId xmlns:a16="http://schemas.microsoft.com/office/drawing/2014/main" id="{20107870-FF73-4378-A79D-7AA13FBE200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5" name="CaixaDeTexto 1904">
          <a:extLst>
            <a:ext uri="{FF2B5EF4-FFF2-40B4-BE49-F238E27FC236}">
              <a16:creationId xmlns:a16="http://schemas.microsoft.com/office/drawing/2014/main" id="{1166B73E-7C01-477D-A3F7-BCDB80A2968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6" name="CaixaDeTexto 1905">
          <a:extLst>
            <a:ext uri="{FF2B5EF4-FFF2-40B4-BE49-F238E27FC236}">
              <a16:creationId xmlns:a16="http://schemas.microsoft.com/office/drawing/2014/main" id="{DCDA91BE-9285-465C-AEC2-E7AD9E89617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7" name="CaixaDeTexto 1906">
          <a:extLst>
            <a:ext uri="{FF2B5EF4-FFF2-40B4-BE49-F238E27FC236}">
              <a16:creationId xmlns:a16="http://schemas.microsoft.com/office/drawing/2014/main" id="{1991750A-A8AD-48D5-A70B-C8DC0325F76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8" name="CaixaDeTexto 1907">
          <a:extLst>
            <a:ext uri="{FF2B5EF4-FFF2-40B4-BE49-F238E27FC236}">
              <a16:creationId xmlns:a16="http://schemas.microsoft.com/office/drawing/2014/main" id="{14D5EE95-26AD-47E4-88E2-87B1A259CC6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09" name="CaixaDeTexto 1908">
          <a:extLst>
            <a:ext uri="{FF2B5EF4-FFF2-40B4-BE49-F238E27FC236}">
              <a16:creationId xmlns:a16="http://schemas.microsoft.com/office/drawing/2014/main" id="{8F9E19B6-9FE5-42F0-A771-4E639749D5C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0" name="CaixaDeTexto 1909">
          <a:extLst>
            <a:ext uri="{FF2B5EF4-FFF2-40B4-BE49-F238E27FC236}">
              <a16:creationId xmlns:a16="http://schemas.microsoft.com/office/drawing/2014/main" id="{A91051CA-2A66-4402-851A-587B3202845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1" name="CaixaDeTexto 1910">
          <a:extLst>
            <a:ext uri="{FF2B5EF4-FFF2-40B4-BE49-F238E27FC236}">
              <a16:creationId xmlns:a16="http://schemas.microsoft.com/office/drawing/2014/main" id="{DCA09B5E-9A7A-4790-B81A-FDFB98CD8A8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2" name="CaixaDeTexto 1911">
          <a:extLst>
            <a:ext uri="{FF2B5EF4-FFF2-40B4-BE49-F238E27FC236}">
              <a16:creationId xmlns:a16="http://schemas.microsoft.com/office/drawing/2014/main" id="{1360ABCD-1794-4F77-A9F6-F254E0115A7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3" name="CaixaDeTexto 1912">
          <a:extLst>
            <a:ext uri="{FF2B5EF4-FFF2-40B4-BE49-F238E27FC236}">
              <a16:creationId xmlns:a16="http://schemas.microsoft.com/office/drawing/2014/main" id="{014A503F-0F16-45FC-940E-2FF853824DB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4" name="CaixaDeTexto 1913">
          <a:extLst>
            <a:ext uri="{FF2B5EF4-FFF2-40B4-BE49-F238E27FC236}">
              <a16:creationId xmlns:a16="http://schemas.microsoft.com/office/drawing/2014/main" id="{EF73CF02-B1A1-4C6C-8CF5-47C8A4F0A8C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5" name="CaixaDeTexto 1914">
          <a:extLst>
            <a:ext uri="{FF2B5EF4-FFF2-40B4-BE49-F238E27FC236}">
              <a16:creationId xmlns:a16="http://schemas.microsoft.com/office/drawing/2014/main" id="{D409E63D-0806-4F86-92C0-4E4D6861F92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6" name="CaixaDeTexto 1915">
          <a:extLst>
            <a:ext uri="{FF2B5EF4-FFF2-40B4-BE49-F238E27FC236}">
              <a16:creationId xmlns:a16="http://schemas.microsoft.com/office/drawing/2014/main" id="{ADA87877-874F-4F6C-9879-C59A36ACBFD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7" name="CaixaDeTexto 1916">
          <a:extLst>
            <a:ext uri="{FF2B5EF4-FFF2-40B4-BE49-F238E27FC236}">
              <a16:creationId xmlns:a16="http://schemas.microsoft.com/office/drawing/2014/main" id="{2DC91BC4-E3EF-472B-92D9-3F1F80DB75D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8" name="CaixaDeTexto 1917">
          <a:extLst>
            <a:ext uri="{FF2B5EF4-FFF2-40B4-BE49-F238E27FC236}">
              <a16:creationId xmlns:a16="http://schemas.microsoft.com/office/drawing/2014/main" id="{0CF56DCA-E2B0-4144-98B5-50F1B57B922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19" name="CaixaDeTexto 1918">
          <a:extLst>
            <a:ext uri="{FF2B5EF4-FFF2-40B4-BE49-F238E27FC236}">
              <a16:creationId xmlns:a16="http://schemas.microsoft.com/office/drawing/2014/main" id="{82217215-D8F4-4CE5-8A90-4EDD95E4A5B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0" name="CaixaDeTexto 1919">
          <a:extLst>
            <a:ext uri="{FF2B5EF4-FFF2-40B4-BE49-F238E27FC236}">
              <a16:creationId xmlns:a16="http://schemas.microsoft.com/office/drawing/2014/main" id="{D2F37200-D3DA-4CD6-AB6D-00E6908DC8D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1" name="CaixaDeTexto 1920">
          <a:extLst>
            <a:ext uri="{FF2B5EF4-FFF2-40B4-BE49-F238E27FC236}">
              <a16:creationId xmlns:a16="http://schemas.microsoft.com/office/drawing/2014/main" id="{508892D7-7FED-4D9D-BE10-49A9BA89C9B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2" name="CaixaDeTexto 1921">
          <a:extLst>
            <a:ext uri="{FF2B5EF4-FFF2-40B4-BE49-F238E27FC236}">
              <a16:creationId xmlns:a16="http://schemas.microsoft.com/office/drawing/2014/main" id="{D0FC3F54-CE0E-4EDC-9664-CC80A9BCADB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3" name="CaixaDeTexto 1922">
          <a:extLst>
            <a:ext uri="{FF2B5EF4-FFF2-40B4-BE49-F238E27FC236}">
              <a16:creationId xmlns:a16="http://schemas.microsoft.com/office/drawing/2014/main" id="{59ECFD53-D4A5-42AC-A455-D47E4AFA22D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4" name="CaixaDeTexto 1923">
          <a:extLst>
            <a:ext uri="{FF2B5EF4-FFF2-40B4-BE49-F238E27FC236}">
              <a16:creationId xmlns:a16="http://schemas.microsoft.com/office/drawing/2014/main" id="{4085F270-128E-45C8-BB91-98B24F37558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5" name="CaixaDeTexto 1924">
          <a:extLst>
            <a:ext uri="{FF2B5EF4-FFF2-40B4-BE49-F238E27FC236}">
              <a16:creationId xmlns:a16="http://schemas.microsoft.com/office/drawing/2014/main" id="{6B1204C0-932B-49B5-AAFF-2F33E71EEBE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6" name="CaixaDeTexto 1925">
          <a:extLst>
            <a:ext uri="{FF2B5EF4-FFF2-40B4-BE49-F238E27FC236}">
              <a16:creationId xmlns:a16="http://schemas.microsoft.com/office/drawing/2014/main" id="{A3133A62-E6F3-43C1-9D23-FCF64A35968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27" name="CaixaDeTexto 1926">
          <a:extLst>
            <a:ext uri="{FF2B5EF4-FFF2-40B4-BE49-F238E27FC236}">
              <a16:creationId xmlns:a16="http://schemas.microsoft.com/office/drawing/2014/main" id="{32E05CEC-FBDC-4BB0-8A0E-61E4160F9B17}"/>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28" name="CaixaDeTexto 1927">
          <a:extLst>
            <a:ext uri="{FF2B5EF4-FFF2-40B4-BE49-F238E27FC236}">
              <a16:creationId xmlns:a16="http://schemas.microsoft.com/office/drawing/2014/main" id="{EED6FCA0-8A4C-481E-803B-0C2BC371560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29" name="CaixaDeTexto 1928">
          <a:extLst>
            <a:ext uri="{FF2B5EF4-FFF2-40B4-BE49-F238E27FC236}">
              <a16:creationId xmlns:a16="http://schemas.microsoft.com/office/drawing/2014/main" id="{A7E1655D-9DE6-41F3-BCB0-5643ECE83A8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0" name="CaixaDeTexto 1929">
          <a:extLst>
            <a:ext uri="{FF2B5EF4-FFF2-40B4-BE49-F238E27FC236}">
              <a16:creationId xmlns:a16="http://schemas.microsoft.com/office/drawing/2014/main" id="{3215AAD1-DC5A-4F9A-866F-24A7E4ED0FE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31" name="CaixaDeTexto 1930">
          <a:extLst>
            <a:ext uri="{FF2B5EF4-FFF2-40B4-BE49-F238E27FC236}">
              <a16:creationId xmlns:a16="http://schemas.microsoft.com/office/drawing/2014/main" id="{4A0F24DF-9B2C-493A-BAA1-760562471BE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2" name="CaixaDeTexto 1931">
          <a:extLst>
            <a:ext uri="{FF2B5EF4-FFF2-40B4-BE49-F238E27FC236}">
              <a16:creationId xmlns:a16="http://schemas.microsoft.com/office/drawing/2014/main" id="{763747B4-0A70-46B6-9106-BDE2935D9CA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3" name="CaixaDeTexto 1932">
          <a:extLst>
            <a:ext uri="{FF2B5EF4-FFF2-40B4-BE49-F238E27FC236}">
              <a16:creationId xmlns:a16="http://schemas.microsoft.com/office/drawing/2014/main" id="{0620814A-C14C-4AF0-BBCB-EF237CE1E50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4" name="CaixaDeTexto 1933">
          <a:extLst>
            <a:ext uri="{FF2B5EF4-FFF2-40B4-BE49-F238E27FC236}">
              <a16:creationId xmlns:a16="http://schemas.microsoft.com/office/drawing/2014/main" id="{F4143158-E5F2-4315-A194-A4DDE66E0D8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5" name="CaixaDeTexto 1934">
          <a:extLst>
            <a:ext uri="{FF2B5EF4-FFF2-40B4-BE49-F238E27FC236}">
              <a16:creationId xmlns:a16="http://schemas.microsoft.com/office/drawing/2014/main" id="{AE1403B7-3489-4B4C-9437-0EAC453AE2B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6" name="CaixaDeTexto 1935">
          <a:extLst>
            <a:ext uri="{FF2B5EF4-FFF2-40B4-BE49-F238E27FC236}">
              <a16:creationId xmlns:a16="http://schemas.microsoft.com/office/drawing/2014/main" id="{60949CE7-0F14-4D85-8C70-2068A2F2F63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7" name="CaixaDeTexto 1936">
          <a:extLst>
            <a:ext uri="{FF2B5EF4-FFF2-40B4-BE49-F238E27FC236}">
              <a16:creationId xmlns:a16="http://schemas.microsoft.com/office/drawing/2014/main" id="{491F416D-9952-4B4A-BFA8-64C76E59E04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38" name="CaixaDeTexto 1937">
          <a:extLst>
            <a:ext uri="{FF2B5EF4-FFF2-40B4-BE49-F238E27FC236}">
              <a16:creationId xmlns:a16="http://schemas.microsoft.com/office/drawing/2014/main" id="{C041E217-E61E-4B66-ADB0-FE34EA8F289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39" name="CaixaDeTexto 1938">
          <a:extLst>
            <a:ext uri="{FF2B5EF4-FFF2-40B4-BE49-F238E27FC236}">
              <a16:creationId xmlns:a16="http://schemas.microsoft.com/office/drawing/2014/main" id="{56E7AC2B-C6E3-48F2-87B4-22BA19F78D0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0" name="CaixaDeTexto 1939">
          <a:extLst>
            <a:ext uri="{FF2B5EF4-FFF2-40B4-BE49-F238E27FC236}">
              <a16:creationId xmlns:a16="http://schemas.microsoft.com/office/drawing/2014/main" id="{B8C46660-FB75-47D8-902E-20781D2F07B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1" name="CaixaDeTexto 1940">
          <a:extLst>
            <a:ext uri="{FF2B5EF4-FFF2-40B4-BE49-F238E27FC236}">
              <a16:creationId xmlns:a16="http://schemas.microsoft.com/office/drawing/2014/main" id="{1D00EA93-792F-46D6-A92F-BCCCD09A3F2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2" name="CaixaDeTexto 1941">
          <a:extLst>
            <a:ext uri="{FF2B5EF4-FFF2-40B4-BE49-F238E27FC236}">
              <a16:creationId xmlns:a16="http://schemas.microsoft.com/office/drawing/2014/main" id="{9BFF4526-0A56-4A61-B5CA-0F010AA8177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3" name="CaixaDeTexto 1942">
          <a:extLst>
            <a:ext uri="{FF2B5EF4-FFF2-40B4-BE49-F238E27FC236}">
              <a16:creationId xmlns:a16="http://schemas.microsoft.com/office/drawing/2014/main" id="{9831D475-F6F9-4009-A9D7-F750E765207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4" name="CaixaDeTexto 1943">
          <a:extLst>
            <a:ext uri="{FF2B5EF4-FFF2-40B4-BE49-F238E27FC236}">
              <a16:creationId xmlns:a16="http://schemas.microsoft.com/office/drawing/2014/main" id="{7126C828-4AD3-4879-9826-FFB068DA581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5" name="CaixaDeTexto 1944">
          <a:extLst>
            <a:ext uri="{FF2B5EF4-FFF2-40B4-BE49-F238E27FC236}">
              <a16:creationId xmlns:a16="http://schemas.microsoft.com/office/drawing/2014/main" id="{96F89821-9E13-4461-B971-90D721CC006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6" name="CaixaDeTexto 1945">
          <a:extLst>
            <a:ext uri="{FF2B5EF4-FFF2-40B4-BE49-F238E27FC236}">
              <a16:creationId xmlns:a16="http://schemas.microsoft.com/office/drawing/2014/main" id="{597CFF9B-DB01-4E8D-B51E-B7D2CA97C15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7" name="CaixaDeTexto 1946">
          <a:extLst>
            <a:ext uri="{FF2B5EF4-FFF2-40B4-BE49-F238E27FC236}">
              <a16:creationId xmlns:a16="http://schemas.microsoft.com/office/drawing/2014/main" id="{C9BECC21-CB9A-4F7A-9A29-66B3FF30A21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8" name="CaixaDeTexto 1947">
          <a:extLst>
            <a:ext uri="{FF2B5EF4-FFF2-40B4-BE49-F238E27FC236}">
              <a16:creationId xmlns:a16="http://schemas.microsoft.com/office/drawing/2014/main" id="{259468B6-E714-461D-A7CC-D59ECE63642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49" name="CaixaDeTexto 1948">
          <a:extLst>
            <a:ext uri="{FF2B5EF4-FFF2-40B4-BE49-F238E27FC236}">
              <a16:creationId xmlns:a16="http://schemas.microsoft.com/office/drawing/2014/main" id="{6C452877-5EB1-41BB-9829-647141C473B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0" name="CaixaDeTexto 1949">
          <a:extLst>
            <a:ext uri="{FF2B5EF4-FFF2-40B4-BE49-F238E27FC236}">
              <a16:creationId xmlns:a16="http://schemas.microsoft.com/office/drawing/2014/main" id="{9D2EFD62-01E9-4BCB-8E84-5441A582A16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1" name="CaixaDeTexto 1950">
          <a:extLst>
            <a:ext uri="{FF2B5EF4-FFF2-40B4-BE49-F238E27FC236}">
              <a16:creationId xmlns:a16="http://schemas.microsoft.com/office/drawing/2014/main" id="{CBCBA909-C60A-44FA-B0FE-D7620132F11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2" name="CaixaDeTexto 1951">
          <a:extLst>
            <a:ext uri="{FF2B5EF4-FFF2-40B4-BE49-F238E27FC236}">
              <a16:creationId xmlns:a16="http://schemas.microsoft.com/office/drawing/2014/main" id="{9C1E72A4-E8D8-4C8D-8841-F9A15D8CDD0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3" name="CaixaDeTexto 1952">
          <a:extLst>
            <a:ext uri="{FF2B5EF4-FFF2-40B4-BE49-F238E27FC236}">
              <a16:creationId xmlns:a16="http://schemas.microsoft.com/office/drawing/2014/main" id="{BFCBBB7D-3CF2-43F6-B587-7E52C6FE2F7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4" name="CaixaDeTexto 1953">
          <a:extLst>
            <a:ext uri="{FF2B5EF4-FFF2-40B4-BE49-F238E27FC236}">
              <a16:creationId xmlns:a16="http://schemas.microsoft.com/office/drawing/2014/main" id="{7E9EAF99-DECC-454D-8AFE-E39A7B0BB12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5" name="CaixaDeTexto 1954">
          <a:extLst>
            <a:ext uri="{FF2B5EF4-FFF2-40B4-BE49-F238E27FC236}">
              <a16:creationId xmlns:a16="http://schemas.microsoft.com/office/drawing/2014/main" id="{CC5220BC-834C-46B6-865B-D8C3744BAF4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6" name="CaixaDeTexto 1955">
          <a:extLst>
            <a:ext uri="{FF2B5EF4-FFF2-40B4-BE49-F238E27FC236}">
              <a16:creationId xmlns:a16="http://schemas.microsoft.com/office/drawing/2014/main" id="{FC2CABA3-D6E7-4BF2-919E-4F4FAA24672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7" name="CaixaDeTexto 1956">
          <a:extLst>
            <a:ext uri="{FF2B5EF4-FFF2-40B4-BE49-F238E27FC236}">
              <a16:creationId xmlns:a16="http://schemas.microsoft.com/office/drawing/2014/main" id="{96E53548-27C0-4A6A-A218-87B98CD450B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8" name="CaixaDeTexto 1957">
          <a:extLst>
            <a:ext uri="{FF2B5EF4-FFF2-40B4-BE49-F238E27FC236}">
              <a16:creationId xmlns:a16="http://schemas.microsoft.com/office/drawing/2014/main" id="{080EC5C2-442D-4125-9A8C-BFBE867A5FB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59" name="CaixaDeTexto 1958">
          <a:extLst>
            <a:ext uri="{FF2B5EF4-FFF2-40B4-BE49-F238E27FC236}">
              <a16:creationId xmlns:a16="http://schemas.microsoft.com/office/drawing/2014/main" id="{D880AA14-4699-45CE-BFEA-6904EFD9C4D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0" name="CaixaDeTexto 1959">
          <a:extLst>
            <a:ext uri="{FF2B5EF4-FFF2-40B4-BE49-F238E27FC236}">
              <a16:creationId xmlns:a16="http://schemas.microsoft.com/office/drawing/2014/main" id="{087A0859-9FB3-4864-8866-067CC8F66AC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1" name="CaixaDeTexto 1960">
          <a:extLst>
            <a:ext uri="{FF2B5EF4-FFF2-40B4-BE49-F238E27FC236}">
              <a16:creationId xmlns:a16="http://schemas.microsoft.com/office/drawing/2014/main" id="{C49BEB65-3D41-42F0-AEF2-22DF4092AAE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2" name="CaixaDeTexto 1961">
          <a:extLst>
            <a:ext uri="{FF2B5EF4-FFF2-40B4-BE49-F238E27FC236}">
              <a16:creationId xmlns:a16="http://schemas.microsoft.com/office/drawing/2014/main" id="{29F17691-9607-48DE-93EC-A67FC1E93AF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3" name="CaixaDeTexto 1962">
          <a:extLst>
            <a:ext uri="{FF2B5EF4-FFF2-40B4-BE49-F238E27FC236}">
              <a16:creationId xmlns:a16="http://schemas.microsoft.com/office/drawing/2014/main" id="{574BE4B4-813E-46B9-932C-899AE4AECC1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4" name="CaixaDeTexto 1963">
          <a:extLst>
            <a:ext uri="{FF2B5EF4-FFF2-40B4-BE49-F238E27FC236}">
              <a16:creationId xmlns:a16="http://schemas.microsoft.com/office/drawing/2014/main" id="{28A51913-20F6-47FC-8B4A-98FCEC073F0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5" name="CaixaDeTexto 1964">
          <a:extLst>
            <a:ext uri="{FF2B5EF4-FFF2-40B4-BE49-F238E27FC236}">
              <a16:creationId xmlns:a16="http://schemas.microsoft.com/office/drawing/2014/main" id="{FF808116-A0B0-4468-AA42-3AF66B763BD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6" name="CaixaDeTexto 1965">
          <a:extLst>
            <a:ext uri="{FF2B5EF4-FFF2-40B4-BE49-F238E27FC236}">
              <a16:creationId xmlns:a16="http://schemas.microsoft.com/office/drawing/2014/main" id="{0B807392-3A00-476E-958D-7ADA4ED50C1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7" name="CaixaDeTexto 1966">
          <a:extLst>
            <a:ext uri="{FF2B5EF4-FFF2-40B4-BE49-F238E27FC236}">
              <a16:creationId xmlns:a16="http://schemas.microsoft.com/office/drawing/2014/main" id="{EAA0ABFF-AEC5-4D3F-AA62-B763393CD51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8" name="CaixaDeTexto 1967">
          <a:extLst>
            <a:ext uri="{FF2B5EF4-FFF2-40B4-BE49-F238E27FC236}">
              <a16:creationId xmlns:a16="http://schemas.microsoft.com/office/drawing/2014/main" id="{C57D318C-7FEB-4771-83B8-31C88C553DD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69" name="CaixaDeTexto 1968">
          <a:extLst>
            <a:ext uri="{FF2B5EF4-FFF2-40B4-BE49-F238E27FC236}">
              <a16:creationId xmlns:a16="http://schemas.microsoft.com/office/drawing/2014/main" id="{8D8EBFF4-BEE5-4E56-AA97-A3B85B42B77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0" name="CaixaDeTexto 1969">
          <a:extLst>
            <a:ext uri="{FF2B5EF4-FFF2-40B4-BE49-F238E27FC236}">
              <a16:creationId xmlns:a16="http://schemas.microsoft.com/office/drawing/2014/main" id="{2FFA0677-31B1-4DC0-B7BC-A6AE2832801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1" name="CaixaDeTexto 1970">
          <a:extLst>
            <a:ext uri="{FF2B5EF4-FFF2-40B4-BE49-F238E27FC236}">
              <a16:creationId xmlns:a16="http://schemas.microsoft.com/office/drawing/2014/main" id="{8F43A561-C192-4C3B-89F8-46B54F9D3B6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2" name="CaixaDeTexto 1971">
          <a:extLst>
            <a:ext uri="{FF2B5EF4-FFF2-40B4-BE49-F238E27FC236}">
              <a16:creationId xmlns:a16="http://schemas.microsoft.com/office/drawing/2014/main" id="{DC99C9FE-081D-4C5E-B2A8-AFFC081B8B1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3" name="CaixaDeTexto 1972">
          <a:extLst>
            <a:ext uri="{FF2B5EF4-FFF2-40B4-BE49-F238E27FC236}">
              <a16:creationId xmlns:a16="http://schemas.microsoft.com/office/drawing/2014/main" id="{ECBC9741-D7A6-4155-BEF4-58356F02CDB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4" name="CaixaDeTexto 1973">
          <a:extLst>
            <a:ext uri="{FF2B5EF4-FFF2-40B4-BE49-F238E27FC236}">
              <a16:creationId xmlns:a16="http://schemas.microsoft.com/office/drawing/2014/main" id="{1CE14145-C47D-416D-9046-982ED6C0C23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5" name="CaixaDeTexto 1974">
          <a:extLst>
            <a:ext uri="{FF2B5EF4-FFF2-40B4-BE49-F238E27FC236}">
              <a16:creationId xmlns:a16="http://schemas.microsoft.com/office/drawing/2014/main" id="{86AE4645-93E4-4B69-BAD5-335F665277D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6" name="CaixaDeTexto 1975">
          <a:extLst>
            <a:ext uri="{FF2B5EF4-FFF2-40B4-BE49-F238E27FC236}">
              <a16:creationId xmlns:a16="http://schemas.microsoft.com/office/drawing/2014/main" id="{CCB4EA72-8F70-4B02-BA57-650247C9C0C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7" name="CaixaDeTexto 1976">
          <a:extLst>
            <a:ext uri="{FF2B5EF4-FFF2-40B4-BE49-F238E27FC236}">
              <a16:creationId xmlns:a16="http://schemas.microsoft.com/office/drawing/2014/main" id="{5BED0661-ED2F-434C-8C60-65C49B836BA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8" name="CaixaDeTexto 1977">
          <a:extLst>
            <a:ext uri="{FF2B5EF4-FFF2-40B4-BE49-F238E27FC236}">
              <a16:creationId xmlns:a16="http://schemas.microsoft.com/office/drawing/2014/main" id="{662F309B-6C2F-4F74-91BF-18317E20B12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79" name="CaixaDeTexto 1978">
          <a:extLst>
            <a:ext uri="{FF2B5EF4-FFF2-40B4-BE49-F238E27FC236}">
              <a16:creationId xmlns:a16="http://schemas.microsoft.com/office/drawing/2014/main" id="{2822162C-227B-4521-8053-40A747C872E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80" name="CaixaDeTexto 1979">
          <a:extLst>
            <a:ext uri="{FF2B5EF4-FFF2-40B4-BE49-F238E27FC236}">
              <a16:creationId xmlns:a16="http://schemas.microsoft.com/office/drawing/2014/main" id="{DB918297-8D2E-4973-AA5B-24366B73279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81" name="CaixaDeTexto 1980">
          <a:extLst>
            <a:ext uri="{FF2B5EF4-FFF2-40B4-BE49-F238E27FC236}">
              <a16:creationId xmlns:a16="http://schemas.microsoft.com/office/drawing/2014/main" id="{AEBC08C6-A21D-4918-9F5A-A09E50E3B77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82" name="CaixaDeTexto 1981">
          <a:extLst>
            <a:ext uri="{FF2B5EF4-FFF2-40B4-BE49-F238E27FC236}">
              <a16:creationId xmlns:a16="http://schemas.microsoft.com/office/drawing/2014/main" id="{F3BE45F9-6494-483D-AC13-72DC9F9E49E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83" name="CaixaDeTexto 1982">
          <a:extLst>
            <a:ext uri="{FF2B5EF4-FFF2-40B4-BE49-F238E27FC236}">
              <a16:creationId xmlns:a16="http://schemas.microsoft.com/office/drawing/2014/main" id="{F2E8AD0B-DAAA-40E9-B4A5-39812DCA7A6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84" name="CaixaDeTexto 1983">
          <a:extLst>
            <a:ext uri="{FF2B5EF4-FFF2-40B4-BE49-F238E27FC236}">
              <a16:creationId xmlns:a16="http://schemas.microsoft.com/office/drawing/2014/main" id="{04CC1933-64D4-4AB8-A7B7-670BB6CC4644}"/>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85" name="CaixaDeTexto 1984">
          <a:extLst>
            <a:ext uri="{FF2B5EF4-FFF2-40B4-BE49-F238E27FC236}">
              <a16:creationId xmlns:a16="http://schemas.microsoft.com/office/drawing/2014/main" id="{39DF985A-AFED-4F5D-B975-AE67E52F4C7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86" name="CaixaDeTexto 1985">
          <a:extLst>
            <a:ext uri="{FF2B5EF4-FFF2-40B4-BE49-F238E27FC236}">
              <a16:creationId xmlns:a16="http://schemas.microsoft.com/office/drawing/2014/main" id="{0AB3C535-4A90-457B-AD83-219C423C4FF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87" name="CaixaDeTexto 1986">
          <a:extLst>
            <a:ext uri="{FF2B5EF4-FFF2-40B4-BE49-F238E27FC236}">
              <a16:creationId xmlns:a16="http://schemas.microsoft.com/office/drawing/2014/main" id="{824DF680-B7BC-4AA2-A25C-9EA0F3CA05D7}"/>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1988" name="CaixaDeTexto 1987">
          <a:extLst>
            <a:ext uri="{FF2B5EF4-FFF2-40B4-BE49-F238E27FC236}">
              <a16:creationId xmlns:a16="http://schemas.microsoft.com/office/drawing/2014/main" id="{11A4D02E-C048-41F4-A588-064DD33D189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89" name="CaixaDeTexto 1988">
          <a:extLst>
            <a:ext uri="{FF2B5EF4-FFF2-40B4-BE49-F238E27FC236}">
              <a16:creationId xmlns:a16="http://schemas.microsoft.com/office/drawing/2014/main" id="{2ECCF3F5-CF98-4AC1-BB5E-C39CA1A1F814}"/>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90" name="CaixaDeTexto 1989">
          <a:extLst>
            <a:ext uri="{FF2B5EF4-FFF2-40B4-BE49-F238E27FC236}">
              <a16:creationId xmlns:a16="http://schemas.microsoft.com/office/drawing/2014/main" id="{50DBE0CE-7C92-46E9-8FFB-7E9566D172C4}"/>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91" name="CaixaDeTexto 1990">
          <a:extLst>
            <a:ext uri="{FF2B5EF4-FFF2-40B4-BE49-F238E27FC236}">
              <a16:creationId xmlns:a16="http://schemas.microsoft.com/office/drawing/2014/main" id="{BBDBF8C0-145E-48A8-BC98-55C1516EDDE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92" name="CaixaDeTexto 1991">
          <a:extLst>
            <a:ext uri="{FF2B5EF4-FFF2-40B4-BE49-F238E27FC236}">
              <a16:creationId xmlns:a16="http://schemas.microsoft.com/office/drawing/2014/main" id="{2AF2D157-7793-44C4-8886-48801ACFE43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93" name="CaixaDeTexto 1992">
          <a:extLst>
            <a:ext uri="{FF2B5EF4-FFF2-40B4-BE49-F238E27FC236}">
              <a16:creationId xmlns:a16="http://schemas.microsoft.com/office/drawing/2014/main" id="{164F1EEE-8F29-41D7-AFF9-7A08576BCFA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94" name="CaixaDeTexto 1993">
          <a:extLst>
            <a:ext uri="{FF2B5EF4-FFF2-40B4-BE49-F238E27FC236}">
              <a16:creationId xmlns:a16="http://schemas.microsoft.com/office/drawing/2014/main" id="{8E30C027-D155-4182-A54F-4C5188EAE78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1995" name="CaixaDeTexto 1994">
          <a:extLst>
            <a:ext uri="{FF2B5EF4-FFF2-40B4-BE49-F238E27FC236}">
              <a16:creationId xmlns:a16="http://schemas.microsoft.com/office/drawing/2014/main" id="{96EE0882-A267-4DDD-A385-10DEC3D32E5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996" name="CaixaDeTexto 1995">
          <a:extLst>
            <a:ext uri="{FF2B5EF4-FFF2-40B4-BE49-F238E27FC236}">
              <a16:creationId xmlns:a16="http://schemas.microsoft.com/office/drawing/2014/main" id="{873ABEBF-D9E5-424C-A084-386445EB309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997" name="CaixaDeTexto 1996">
          <a:extLst>
            <a:ext uri="{FF2B5EF4-FFF2-40B4-BE49-F238E27FC236}">
              <a16:creationId xmlns:a16="http://schemas.microsoft.com/office/drawing/2014/main" id="{2967EF4D-067C-4AB7-9D8C-57A99EC02BD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998" name="CaixaDeTexto 1997">
          <a:extLst>
            <a:ext uri="{FF2B5EF4-FFF2-40B4-BE49-F238E27FC236}">
              <a16:creationId xmlns:a16="http://schemas.microsoft.com/office/drawing/2014/main" id="{0BCE0C04-FF77-44E6-B2C1-5707F4B75B6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1999" name="CaixaDeTexto 1998">
          <a:extLst>
            <a:ext uri="{FF2B5EF4-FFF2-40B4-BE49-F238E27FC236}">
              <a16:creationId xmlns:a16="http://schemas.microsoft.com/office/drawing/2014/main" id="{DFA76E85-2C30-4408-885B-C7FB1C9B98A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0" name="CaixaDeTexto 1999">
          <a:extLst>
            <a:ext uri="{FF2B5EF4-FFF2-40B4-BE49-F238E27FC236}">
              <a16:creationId xmlns:a16="http://schemas.microsoft.com/office/drawing/2014/main" id="{DC07B570-CD2F-4062-98D8-9F982936B1B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1" name="CaixaDeTexto 2000">
          <a:extLst>
            <a:ext uri="{FF2B5EF4-FFF2-40B4-BE49-F238E27FC236}">
              <a16:creationId xmlns:a16="http://schemas.microsoft.com/office/drawing/2014/main" id="{D3ADD6FA-BD07-4045-BA8C-C849C699A50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2" name="CaixaDeTexto 2001">
          <a:extLst>
            <a:ext uri="{FF2B5EF4-FFF2-40B4-BE49-F238E27FC236}">
              <a16:creationId xmlns:a16="http://schemas.microsoft.com/office/drawing/2014/main" id="{FC9F692A-2509-497B-A970-370425D1696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3" name="CaixaDeTexto 2002">
          <a:extLst>
            <a:ext uri="{FF2B5EF4-FFF2-40B4-BE49-F238E27FC236}">
              <a16:creationId xmlns:a16="http://schemas.microsoft.com/office/drawing/2014/main" id="{EDE41E7E-63A9-4EAE-B48A-90C12B74A9A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4" name="CaixaDeTexto 2003">
          <a:extLst>
            <a:ext uri="{FF2B5EF4-FFF2-40B4-BE49-F238E27FC236}">
              <a16:creationId xmlns:a16="http://schemas.microsoft.com/office/drawing/2014/main" id="{2FA82B4A-9CD3-4C9E-B2FF-A316FF8E0A1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5" name="CaixaDeTexto 2004">
          <a:extLst>
            <a:ext uri="{FF2B5EF4-FFF2-40B4-BE49-F238E27FC236}">
              <a16:creationId xmlns:a16="http://schemas.microsoft.com/office/drawing/2014/main" id="{919E26A9-1FCD-4632-ABC8-87B95C05920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6" name="CaixaDeTexto 2005">
          <a:extLst>
            <a:ext uri="{FF2B5EF4-FFF2-40B4-BE49-F238E27FC236}">
              <a16:creationId xmlns:a16="http://schemas.microsoft.com/office/drawing/2014/main" id="{287799D5-C8E8-46BD-B0BD-4F14B32F502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7" name="CaixaDeTexto 2006">
          <a:extLst>
            <a:ext uri="{FF2B5EF4-FFF2-40B4-BE49-F238E27FC236}">
              <a16:creationId xmlns:a16="http://schemas.microsoft.com/office/drawing/2014/main" id="{F5424B97-A856-4D35-9692-FDC8B95E052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8" name="CaixaDeTexto 2007">
          <a:extLst>
            <a:ext uri="{FF2B5EF4-FFF2-40B4-BE49-F238E27FC236}">
              <a16:creationId xmlns:a16="http://schemas.microsoft.com/office/drawing/2014/main" id="{7928BC90-38A9-4F93-8F12-9E53823E8BB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09" name="CaixaDeTexto 2008">
          <a:extLst>
            <a:ext uri="{FF2B5EF4-FFF2-40B4-BE49-F238E27FC236}">
              <a16:creationId xmlns:a16="http://schemas.microsoft.com/office/drawing/2014/main" id="{511B73A1-1A20-4264-B3AB-D4C9717AD10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0" name="CaixaDeTexto 2009">
          <a:extLst>
            <a:ext uri="{FF2B5EF4-FFF2-40B4-BE49-F238E27FC236}">
              <a16:creationId xmlns:a16="http://schemas.microsoft.com/office/drawing/2014/main" id="{C7A2076F-FFBC-4403-87CB-699015955A9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1" name="CaixaDeTexto 2010">
          <a:extLst>
            <a:ext uri="{FF2B5EF4-FFF2-40B4-BE49-F238E27FC236}">
              <a16:creationId xmlns:a16="http://schemas.microsoft.com/office/drawing/2014/main" id="{29C14AEA-E430-46B7-BF9D-41BF54D943F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2" name="CaixaDeTexto 2011">
          <a:extLst>
            <a:ext uri="{FF2B5EF4-FFF2-40B4-BE49-F238E27FC236}">
              <a16:creationId xmlns:a16="http://schemas.microsoft.com/office/drawing/2014/main" id="{B02673F8-72F0-4799-8960-7BCF039CD29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3" name="CaixaDeTexto 2012">
          <a:extLst>
            <a:ext uri="{FF2B5EF4-FFF2-40B4-BE49-F238E27FC236}">
              <a16:creationId xmlns:a16="http://schemas.microsoft.com/office/drawing/2014/main" id="{B3DCF7BB-9E70-4593-B902-EA2C8E4D9C5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4" name="CaixaDeTexto 2013">
          <a:extLst>
            <a:ext uri="{FF2B5EF4-FFF2-40B4-BE49-F238E27FC236}">
              <a16:creationId xmlns:a16="http://schemas.microsoft.com/office/drawing/2014/main" id="{34963656-3EC2-41D9-9A79-DFC6F79C8A7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5" name="CaixaDeTexto 2014">
          <a:extLst>
            <a:ext uri="{FF2B5EF4-FFF2-40B4-BE49-F238E27FC236}">
              <a16:creationId xmlns:a16="http://schemas.microsoft.com/office/drawing/2014/main" id="{4EA8AE50-2069-4912-9829-CECDE734B9D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6" name="CaixaDeTexto 2015">
          <a:extLst>
            <a:ext uri="{FF2B5EF4-FFF2-40B4-BE49-F238E27FC236}">
              <a16:creationId xmlns:a16="http://schemas.microsoft.com/office/drawing/2014/main" id="{3151C09D-4531-44FF-BED9-4267EC366B3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7" name="CaixaDeTexto 2016">
          <a:extLst>
            <a:ext uri="{FF2B5EF4-FFF2-40B4-BE49-F238E27FC236}">
              <a16:creationId xmlns:a16="http://schemas.microsoft.com/office/drawing/2014/main" id="{9E8A5B4C-F08E-4B24-B7B1-A397DEB9701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8" name="CaixaDeTexto 2017">
          <a:extLst>
            <a:ext uri="{FF2B5EF4-FFF2-40B4-BE49-F238E27FC236}">
              <a16:creationId xmlns:a16="http://schemas.microsoft.com/office/drawing/2014/main" id="{A4D86014-30E6-4658-B0EB-648C857D663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19" name="CaixaDeTexto 2018">
          <a:extLst>
            <a:ext uri="{FF2B5EF4-FFF2-40B4-BE49-F238E27FC236}">
              <a16:creationId xmlns:a16="http://schemas.microsoft.com/office/drawing/2014/main" id="{A26116E5-005E-4790-8851-2C848FEFE20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0" name="CaixaDeTexto 2019">
          <a:extLst>
            <a:ext uri="{FF2B5EF4-FFF2-40B4-BE49-F238E27FC236}">
              <a16:creationId xmlns:a16="http://schemas.microsoft.com/office/drawing/2014/main" id="{E345E624-0296-472E-9A81-62536C7D93F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1" name="CaixaDeTexto 2020">
          <a:extLst>
            <a:ext uri="{FF2B5EF4-FFF2-40B4-BE49-F238E27FC236}">
              <a16:creationId xmlns:a16="http://schemas.microsoft.com/office/drawing/2014/main" id="{061DBC7C-513E-40C5-9E82-7E839290032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2" name="CaixaDeTexto 2021">
          <a:extLst>
            <a:ext uri="{FF2B5EF4-FFF2-40B4-BE49-F238E27FC236}">
              <a16:creationId xmlns:a16="http://schemas.microsoft.com/office/drawing/2014/main" id="{15C34D61-26DF-4D02-891B-A0D8BD4442B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3" name="CaixaDeTexto 2022">
          <a:extLst>
            <a:ext uri="{FF2B5EF4-FFF2-40B4-BE49-F238E27FC236}">
              <a16:creationId xmlns:a16="http://schemas.microsoft.com/office/drawing/2014/main" id="{73893398-1B4D-40E5-92DD-7505B3359C7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4" name="CaixaDeTexto 2023">
          <a:extLst>
            <a:ext uri="{FF2B5EF4-FFF2-40B4-BE49-F238E27FC236}">
              <a16:creationId xmlns:a16="http://schemas.microsoft.com/office/drawing/2014/main" id="{68901C9A-54A3-446C-B2EA-04C71E16B82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5" name="CaixaDeTexto 2024">
          <a:extLst>
            <a:ext uri="{FF2B5EF4-FFF2-40B4-BE49-F238E27FC236}">
              <a16:creationId xmlns:a16="http://schemas.microsoft.com/office/drawing/2014/main" id="{F8F25075-8B04-4BCC-8B74-6A157A7C7B5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6" name="CaixaDeTexto 2025">
          <a:extLst>
            <a:ext uri="{FF2B5EF4-FFF2-40B4-BE49-F238E27FC236}">
              <a16:creationId xmlns:a16="http://schemas.microsoft.com/office/drawing/2014/main" id="{1F7D8B35-7AD5-4909-B74C-4F0A9C3ED97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7" name="CaixaDeTexto 2026">
          <a:extLst>
            <a:ext uri="{FF2B5EF4-FFF2-40B4-BE49-F238E27FC236}">
              <a16:creationId xmlns:a16="http://schemas.microsoft.com/office/drawing/2014/main" id="{7B5F1129-6083-488F-881E-7C42B2BFBEB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8" name="CaixaDeTexto 2027">
          <a:extLst>
            <a:ext uri="{FF2B5EF4-FFF2-40B4-BE49-F238E27FC236}">
              <a16:creationId xmlns:a16="http://schemas.microsoft.com/office/drawing/2014/main" id="{F6F1016B-125D-40B0-BA5D-12716589B4E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29" name="CaixaDeTexto 2028">
          <a:extLst>
            <a:ext uri="{FF2B5EF4-FFF2-40B4-BE49-F238E27FC236}">
              <a16:creationId xmlns:a16="http://schemas.microsoft.com/office/drawing/2014/main" id="{C16D8DE2-F6CD-4DB1-A48B-379C8355E02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0" name="CaixaDeTexto 2029">
          <a:extLst>
            <a:ext uri="{FF2B5EF4-FFF2-40B4-BE49-F238E27FC236}">
              <a16:creationId xmlns:a16="http://schemas.microsoft.com/office/drawing/2014/main" id="{54D043BB-2619-4634-A7B9-507E5076FEC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1" name="CaixaDeTexto 2030">
          <a:extLst>
            <a:ext uri="{FF2B5EF4-FFF2-40B4-BE49-F238E27FC236}">
              <a16:creationId xmlns:a16="http://schemas.microsoft.com/office/drawing/2014/main" id="{CBA2C9B9-48BF-495F-8F1C-784384170D8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2" name="CaixaDeTexto 2031">
          <a:extLst>
            <a:ext uri="{FF2B5EF4-FFF2-40B4-BE49-F238E27FC236}">
              <a16:creationId xmlns:a16="http://schemas.microsoft.com/office/drawing/2014/main" id="{10E2856E-E031-43DE-A5C6-840E02FC274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3" name="CaixaDeTexto 2032">
          <a:extLst>
            <a:ext uri="{FF2B5EF4-FFF2-40B4-BE49-F238E27FC236}">
              <a16:creationId xmlns:a16="http://schemas.microsoft.com/office/drawing/2014/main" id="{4A24A11C-F7F0-4DA2-A08A-09A3AD36B0B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4" name="CaixaDeTexto 2033">
          <a:extLst>
            <a:ext uri="{FF2B5EF4-FFF2-40B4-BE49-F238E27FC236}">
              <a16:creationId xmlns:a16="http://schemas.microsoft.com/office/drawing/2014/main" id="{B4998F33-AE94-4DF1-8472-CA5834339F3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5" name="CaixaDeTexto 2034">
          <a:extLst>
            <a:ext uri="{FF2B5EF4-FFF2-40B4-BE49-F238E27FC236}">
              <a16:creationId xmlns:a16="http://schemas.microsoft.com/office/drawing/2014/main" id="{18A6320B-7B54-475B-8058-E2D03EF6A08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6" name="CaixaDeTexto 2035">
          <a:extLst>
            <a:ext uri="{FF2B5EF4-FFF2-40B4-BE49-F238E27FC236}">
              <a16:creationId xmlns:a16="http://schemas.microsoft.com/office/drawing/2014/main" id="{156C497D-7B15-4839-B943-A56AAD70FBE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7" name="CaixaDeTexto 2036">
          <a:extLst>
            <a:ext uri="{FF2B5EF4-FFF2-40B4-BE49-F238E27FC236}">
              <a16:creationId xmlns:a16="http://schemas.microsoft.com/office/drawing/2014/main" id="{2A9D3C3A-37B6-4958-8C37-199DE565D7F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8" name="CaixaDeTexto 2037">
          <a:extLst>
            <a:ext uri="{FF2B5EF4-FFF2-40B4-BE49-F238E27FC236}">
              <a16:creationId xmlns:a16="http://schemas.microsoft.com/office/drawing/2014/main" id="{3B653749-C104-4404-89EA-5557A10CEFB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39" name="CaixaDeTexto 2038">
          <a:extLst>
            <a:ext uri="{FF2B5EF4-FFF2-40B4-BE49-F238E27FC236}">
              <a16:creationId xmlns:a16="http://schemas.microsoft.com/office/drawing/2014/main" id="{6D05B495-9C33-4734-AA2D-C175F7CF279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40" name="CaixaDeTexto 2039">
          <a:extLst>
            <a:ext uri="{FF2B5EF4-FFF2-40B4-BE49-F238E27FC236}">
              <a16:creationId xmlns:a16="http://schemas.microsoft.com/office/drawing/2014/main" id="{5A3A81C6-B29F-480F-A478-26B05C7E450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41" name="CaixaDeTexto 2040">
          <a:extLst>
            <a:ext uri="{FF2B5EF4-FFF2-40B4-BE49-F238E27FC236}">
              <a16:creationId xmlns:a16="http://schemas.microsoft.com/office/drawing/2014/main" id="{0B4074F3-8273-4D6A-A9DC-BB9DB90FDB5A}"/>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2" name="CaixaDeTexto 2041">
          <a:extLst>
            <a:ext uri="{FF2B5EF4-FFF2-40B4-BE49-F238E27FC236}">
              <a16:creationId xmlns:a16="http://schemas.microsoft.com/office/drawing/2014/main" id="{AC119B85-E0E1-4CF3-87FE-DE91ACD236BE}"/>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43" name="CaixaDeTexto 2042">
          <a:extLst>
            <a:ext uri="{FF2B5EF4-FFF2-40B4-BE49-F238E27FC236}">
              <a16:creationId xmlns:a16="http://schemas.microsoft.com/office/drawing/2014/main" id="{001A99E1-97EA-44FC-991C-877C2F20A2BB}"/>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4" name="CaixaDeTexto 2043">
          <a:extLst>
            <a:ext uri="{FF2B5EF4-FFF2-40B4-BE49-F238E27FC236}">
              <a16:creationId xmlns:a16="http://schemas.microsoft.com/office/drawing/2014/main" id="{617F85A4-472E-45ED-AE0E-C0FB3EA65898}"/>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5" name="CaixaDeTexto 2044">
          <a:extLst>
            <a:ext uri="{FF2B5EF4-FFF2-40B4-BE49-F238E27FC236}">
              <a16:creationId xmlns:a16="http://schemas.microsoft.com/office/drawing/2014/main" id="{6037A76B-D056-43F3-8D84-4727E51888F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6" name="CaixaDeTexto 2045">
          <a:extLst>
            <a:ext uri="{FF2B5EF4-FFF2-40B4-BE49-F238E27FC236}">
              <a16:creationId xmlns:a16="http://schemas.microsoft.com/office/drawing/2014/main" id="{188AEA5E-26FB-4D20-A812-8D614B051EC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7" name="CaixaDeTexto 2046">
          <a:extLst>
            <a:ext uri="{FF2B5EF4-FFF2-40B4-BE49-F238E27FC236}">
              <a16:creationId xmlns:a16="http://schemas.microsoft.com/office/drawing/2014/main" id="{26AB30D0-A139-4BC7-B9CB-78529FA7557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8" name="CaixaDeTexto 2047">
          <a:extLst>
            <a:ext uri="{FF2B5EF4-FFF2-40B4-BE49-F238E27FC236}">
              <a16:creationId xmlns:a16="http://schemas.microsoft.com/office/drawing/2014/main" id="{F275E8E0-FCB4-4510-A291-F9365FABB6C8}"/>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49" name="CaixaDeTexto 2048">
          <a:extLst>
            <a:ext uri="{FF2B5EF4-FFF2-40B4-BE49-F238E27FC236}">
              <a16:creationId xmlns:a16="http://schemas.microsoft.com/office/drawing/2014/main" id="{B64D35D9-5A14-4715-AA1C-1E6F18C5283E}"/>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488</xdr:row>
      <xdr:rowOff>0</xdr:rowOff>
    </xdr:from>
    <xdr:ext cx="184731" cy="264560"/>
    <xdr:sp macro="" textlink="">
      <xdr:nvSpPr>
        <xdr:cNvPr id="2050" name="CaixaDeTexto 2049">
          <a:extLst>
            <a:ext uri="{FF2B5EF4-FFF2-40B4-BE49-F238E27FC236}">
              <a16:creationId xmlns:a16="http://schemas.microsoft.com/office/drawing/2014/main" id="{9A196C7A-A6BE-437F-AD51-231C3E1E443C}"/>
            </a:ext>
          </a:extLst>
        </xdr:cNvPr>
        <xdr:cNvSpPr txBox="1"/>
      </xdr:nvSpPr>
      <xdr:spPr>
        <a:xfrm>
          <a:off x="5275157" y="977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1" name="CaixaDeTexto 2050">
          <a:extLst>
            <a:ext uri="{FF2B5EF4-FFF2-40B4-BE49-F238E27FC236}">
              <a16:creationId xmlns:a16="http://schemas.microsoft.com/office/drawing/2014/main" id="{3209C39E-EA2F-42B2-BC34-E180E9363542}"/>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052" name="CaixaDeTexto 2051">
          <a:extLst>
            <a:ext uri="{FF2B5EF4-FFF2-40B4-BE49-F238E27FC236}">
              <a16:creationId xmlns:a16="http://schemas.microsoft.com/office/drawing/2014/main" id="{9CDCADDD-F39C-4CF6-A9EC-3270F99FFF5D}"/>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3" name="CaixaDeTexto 2052">
          <a:extLst>
            <a:ext uri="{FF2B5EF4-FFF2-40B4-BE49-F238E27FC236}">
              <a16:creationId xmlns:a16="http://schemas.microsoft.com/office/drawing/2014/main" id="{7CECDF49-3D1A-4F18-BCFB-CA74CA9C155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4" name="CaixaDeTexto 2053">
          <a:extLst>
            <a:ext uri="{FF2B5EF4-FFF2-40B4-BE49-F238E27FC236}">
              <a16:creationId xmlns:a16="http://schemas.microsoft.com/office/drawing/2014/main" id="{53DCD478-6A00-43CF-98A0-E36B47D9407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5" name="CaixaDeTexto 2054">
          <a:extLst>
            <a:ext uri="{FF2B5EF4-FFF2-40B4-BE49-F238E27FC236}">
              <a16:creationId xmlns:a16="http://schemas.microsoft.com/office/drawing/2014/main" id="{902B2A21-EC48-4B85-AA05-37FF563595C5}"/>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6" name="CaixaDeTexto 2055">
          <a:extLst>
            <a:ext uri="{FF2B5EF4-FFF2-40B4-BE49-F238E27FC236}">
              <a16:creationId xmlns:a16="http://schemas.microsoft.com/office/drawing/2014/main" id="{109FA9C7-D2F4-416E-890F-B463FB10890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7" name="CaixaDeTexto 2056">
          <a:extLst>
            <a:ext uri="{FF2B5EF4-FFF2-40B4-BE49-F238E27FC236}">
              <a16:creationId xmlns:a16="http://schemas.microsoft.com/office/drawing/2014/main" id="{D1BFAA86-DE2C-49D1-9F9C-71E7F82C49F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8" name="CaixaDeTexto 2057">
          <a:extLst>
            <a:ext uri="{FF2B5EF4-FFF2-40B4-BE49-F238E27FC236}">
              <a16:creationId xmlns:a16="http://schemas.microsoft.com/office/drawing/2014/main" id="{64DBB52F-5BFC-4081-9ADC-D8D902CEF01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59" name="CaixaDeTexto 2058">
          <a:extLst>
            <a:ext uri="{FF2B5EF4-FFF2-40B4-BE49-F238E27FC236}">
              <a16:creationId xmlns:a16="http://schemas.microsoft.com/office/drawing/2014/main" id="{C4FE904A-6447-4D7D-A1AF-48301C3D342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060" name="CaixaDeTexto 2059">
          <a:extLst>
            <a:ext uri="{FF2B5EF4-FFF2-40B4-BE49-F238E27FC236}">
              <a16:creationId xmlns:a16="http://schemas.microsoft.com/office/drawing/2014/main" id="{9AD70614-2D9F-4DC2-8A1A-9FD55344A44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061" name="CaixaDeTexto 2060">
          <a:extLst>
            <a:ext uri="{FF2B5EF4-FFF2-40B4-BE49-F238E27FC236}">
              <a16:creationId xmlns:a16="http://schemas.microsoft.com/office/drawing/2014/main" id="{E4CAD2DD-0740-4A66-8B7A-AAD5E84C5DAB}"/>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62" name="CaixaDeTexto 2061">
          <a:extLst>
            <a:ext uri="{FF2B5EF4-FFF2-40B4-BE49-F238E27FC236}">
              <a16:creationId xmlns:a16="http://schemas.microsoft.com/office/drawing/2014/main" id="{B97ED59F-F7FC-4BFA-BF1C-344DA1E535A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63" name="CaixaDeTexto 2062">
          <a:extLst>
            <a:ext uri="{FF2B5EF4-FFF2-40B4-BE49-F238E27FC236}">
              <a16:creationId xmlns:a16="http://schemas.microsoft.com/office/drawing/2014/main" id="{1AE913FE-B533-4B9F-BC53-1A671E07C54C}"/>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64" name="CaixaDeTexto 2063">
          <a:extLst>
            <a:ext uri="{FF2B5EF4-FFF2-40B4-BE49-F238E27FC236}">
              <a16:creationId xmlns:a16="http://schemas.microsoft.com/office/drawing/2014/main" id="{6C7F6321-519D-4839-B032-ED195BF2C5A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65" name="CaixaDeTexto 2064">
          <a:extLst>
            <a:ext uri="{FF2B5EF4-FFF2-40B4-BE49-F238E27FC236}">
              <a16:creationId xmlns:a16="http://schemas.microsoft.com/office/drawing/2014/main" id="{D12A252A-57E0-459F-9E36-31C81A418E2A}"/>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66" name="CaixaDeTexto 2065">
          <a:extLst>
            <a:ext uri="{FF2B5EF4-FFF2-40B4-BE49-F238E27FC236}">
              <a16:creationId xmlns:a16="http://schemas.microsoft.com/office/drawing/2014/main" id="{12F3F357-06FD-4AB3-85DE-01E86989B796}"/>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67" name="CaixaDeTexto 2066">
          <a:extLst>
            <a:ext uri="{FF2B5EF4-FFF2-40B4-BE49-F238E27FC236}">
              <a16:creationId xmlns:a16="http://schemas.microsoft.com/office/drawing/2014/main" id="{3FAAFB14-DF7C-4419-ADBF-FCD5FA86E45E}"/>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68" name="CaixaDeTexto 2067">
          <a:extLst>
            <a:ext uri="{FF2B5EF4-FFF2-40B4-BE49-F238E27FC236}">
              <a16:creationId xmlns:a16="http://schemas.microsoft.com/office/drawing/2014/main" id="{348A2597-C340-42EE-891D-8CEB5358F4B6}"/>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69" name="CaixaDeTexto 2068">
          <a:extLst>
            <a:ext uri="{FF2B5EF4-FFF2-40B4-BE49-F238E27FC236}">
              <a16:creationId xmlns:a16="http://schemas.microsoft.com/office/drawing/2014/main" id="{16E88F2C-942D-461F-8301-17668950F7B0}"/>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70" name="CaixaDeTexto 2069">
          <a:extLst>
            <a:ext uri="{FF2B5EF4-FFF2-40B4-BE49-F238E27FC236}">
              <a16:creationId xmlns:a16="http://schemas.microsoft.com/office/drawing/2014/main" id="{707CD5B3-C63D-4A3F-A937-D952105DBDDE}"/>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071" name="CaixaDeTexto 2070">
          <a:extLst>
            <a:ext uri="{FF2B5EF4-FFF2-40B4-BE49-F238E27FC236}">
              <a16:creationId xmlns:a16="http://schemas.microsoft.com/office/drawing/2014/main" id="{C3D9524A-5772-47A4-8837-25AC66DB905A}"/>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2" name="CaixaDeTexto 2071">
          <a:extLst>
            <a:ext uri="{FF2B5EF4-FFF2-40B4-BE49-F238E27FC236}">
              <a16:creationId xmlns:a16="http://schemas.microsoft.com/office/drawing/2014/main" id="{D79F8F0E-0D59-4EF7-9ABC-582D877238B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3" name="CaixaDeTexto 2072">
          <a:extLst>
            <a:ext uri="{FF2B5EF4-FFF2-40B4-BE49-F238E27FC236}">
              <a16:creationId xmlns:a16="http://schemas.microsoft.com/office/drawing/2014/main" id="{565847EC-3403-40B8-8978-1DE7681B71F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4" name="CaixaDeTexto 2073">
          <a:extLst>
            <a:ext uri="{FF2B5EF4-FFF2-40B4-BE49-F238E27FC236}">
              <a16:creationId xmlns:a16="http://schemas.microsoft.com/office/drawing/2014/main" id="{B8CE6539-9891-4AAF-9AE2-B3C7FECC066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5" name="CaixaDeTexto 2074">
          <a:extLst>
            <a:ext uri="{FF2B5EF4-FFF2-40B4-BE49-F238E27FC236}">
              <a16:creationId xmlns:a16="http://schemas.microsoft.com/office/drawing/2014/main" id="{9D6FD2C0-E104-470D-ADD3-E0DDFD9B27B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6" name="CaixaDeTexto 2075">
          <a:extLst>
            <a:ext uri="{FF2B5EF4-FFF2-40B4-BE49-F238E27FC236}">
              <a16:creationId xmlns:a16="http://schemas.microsoft.com/office/drawing/2014/main" id="{7B9B0CC8-DB8D-40A3-B75F-81B450053E2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7" name="CaixaDeTexto 2076">
          <a:extLst>
            <a:ext uri="{FF2B5EF4-FFF2-40B4-BE49-F238E27FC236}">
              <a16:creationId xmlns:a16="http://schemas.microsoft.com/office/drawing/2014/main" id="{1C2C4608-DFC0-484F-8AF4-D3E0A34764E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8" name="CaixaDeTexto 2077">
          <a:extLst>
            <a:ext uri="{FF2B5EF4-FFF2-40B4-BE49-F238E27FC236}">
              <a16:creationId xmlns:a16="http://schemas.microsoft.com/office/drawing/2014/main" id="{98DB9D55-F272-4B1C-ADFA-F8AEA5F5E6C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79" name="CaixaDeTexto 2078">
          <a:extLst>
            <a:ext uri="{FF2B5EF4-FFF2-40B4-BE49-F238E27FC236}">
              <a16:creationId xmlns:a16="http://schemas.microsoft.com/office/drawing/2014/main" id="{F984F4EB-39F4-4229-BD64-2710AC298EA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0" name="CaixaDeTexto 2079">
          <a:extLst>
            <a:ext uri="{FF2B5EF4-FFF2-40B4-BE49-F238E27FC236}">
              <a16:creationId xmlns:a16="http://schemas.microsoft.com/office/drawing/2014/main" id="{D8B14631-D536-4639-AE03-DFA2D8E9DFF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1" name="CaixaDeTexto 2080">
          <a:extLst>
            <a:ext uri="{FF2B5EF4-FFF2-40B4-BE49-F238E27FC236}">
              <a16:creationId xmlns:a16="http://schemas.microsoft.com/office/drawing/2014/main" id="{2B00AD2F-F6BC-4081-927A-19BDC41CCB8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2" name="CaixaDeTexto 2081">
          <a:extLst>
            <a:ext uri="{FF2B5EF4-FFF2-40B4-BE49-F238E27FC236}">
              <a16:creationId xmlns:a16="http://schemas.microsoft.com/office/drawing/2014/main" id="{4684CDED-C737-4E1A-9FB4-04309E8529B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3" name="CaixaDeTexto 2082">
          <a:extLst>
            <a:ext uri="{FF2B5EF4-FFF2-40B4-BE49-F238E27FC236}">
              <a16:creationId xmlns:a16="http://schemas.microsoft.com/office/drawing/2014/main" id="{CFCA0DC0-82FD-4DC8-B12A-97407516F25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4" name="CaixaDeTexto 2083">
          <a:extLst>
            <a:ext uri="{FF2B5EF4-FFF2-40B4-BE49-F238E27FC236}">
              <a16:creationId xmlns:a16="http://schemas.microsoft.com/office/drawing/2014/main" id="{891A4A91-600D-49D6-A519-9EFD6D09687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5" name="CaixaDeTexto 2084">
          <a:extLst>
            <a:ext uri="{FF2B5EF4-FFF2-40B4-BE49-F238E27FC236}">
              <a16:creationId xmlns:a16="http://schemas.microsoft.com/office/drawing/2014/main" id="{48157C75-82AC-4DC9-9650-B162804C1C2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6" name="CaixaDeTexto 2085">
          <a:extLst>
            <a:ext uri="{FF2B5EF4-FFF2-40B4-BE49-F238E27FC236}">
              <a16:creationId xmlns:a16="http://schemas.microsoft.com/office/drawing/2014/main" id="{AF422F5F-BFDA-4F56-9478-7A6B9E57D4A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7" name="CaixaDeTexto 2086">
          <a:extLst>
            <a:ext uri="{FF2B5EF4-FFF2-40B4-BE49-F238E27FC236}">
              <a16:creationId xmlns:a16="http://schemas.microsoft.com/office/drawing/2014/main" id="{6129ADD8-8A6C-4EC8-A1CE-C7ED1A97622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8" name="CaixaDeTexto 2087">
          <a:extLst>
            <a:ext uri="{FF2B5EF4-FFF2-40B4-BE49-F238E27FC236}">
              <a16:creationId xmlns:a16="http://schemas.microsoft.com/office/drawing/2014/main" id="{7825B650-732D-4FBF-821B-62FEF0104B2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89" name="CaixaDeTexto 2088">
          <a:extLst>
            <a:ext uri="{FF2B5EF4-FFF2-40B4-BE49-F238E27FC236}">
              <a16:creationId xmlns:a16="http://schemas.microsoft.com/office/drawing/2014/main" id="{8CDFF727-8031-48A0-9208-497A60AD919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0" name="CaixaDeTexto 2089">
          <a:extLst>
            <a:ext uri="{FF2B5EF4-FFF2-40B4-BE49-F238E27FC236}">
              <a16:creationId xmlns:a16="http://schemas.microsoft.com/office/drawing/2014/main" id="{FEDC32C4-EAE3-414B-80B2-2A7DAD81B72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1" name="CaixaDeTexto 2090">
          <a:extLst>
            <a:ext uri="{FF2B5EF4-FFF2-40B4-BE49-F238E27FC236}">
              <a16:creationId xmlns:a16="http://schemas.microsoft.com/office/drawing/2014/main" id="{AD480F22-7D40-4FD8-99A3-92FACB494A3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2" name="CaixaDeTexto 2091">
          <a:extLst>
            <a:ext uri="{FF2B5EF4-FFF2-40B4-BE49-F238E27FC236}">
              <a16:creationId xmlns:a16="http://schemas.microsoft.com/office/drawing/2014/main" id="{F3AE4B22-FBF3-451F-8336-B2F37868A50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3" name="CaixaDeTexto 2092">
          <a:extLst>
            <a:ext uri="{FF2B5EF4-FFF2-40B4-BE49-F238E27FC236}">
              <a16:creationId xmlns:a16="http://schemas.microsoft.com/office/drawing/2014/main" id="{885A774F-F656-4145-B4DA-7DB7D9C03C9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4" name="CaixaDeTexto 2093">
          <a:extLst>
            <a:ext uri="{FF2B5EF4-FFF2-40B4-BE49-F238E27FC236}">
              <a16:creationId xmlns:a16="http://schemas.microsoft.com/office/drawing/2014/main" id="{2859AEC3-DF16-4355-BBE3-5B30EA79B14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5" name="CaixaDeTexto 2094">
          <a:extLst>
            <a:ext uri="{FF2B5EF4-FFF2-40B4-BE49-F238E27FC236}">
              <a16:creationId xmlns:a16="http://schemas.microsoft.com/office/drawing/2014/main" id="{CDE78A1D-CD22-4645-945E-F01D497015F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6" name="CaixaDeTexto 2095">
          <a:extLst>
            <a:ext uri="{FF2B5EF4-FFF2-40B4-BE49-F238E27FC236}">
              <a16:creationId xmlns:a16="http://schemas.microsoft.com/office/drawing/2014/main" id="{71621C3F-00B6-4899-8DC1-2A27BDE643F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7" name="CaixaDeTexto 2096">
          <a:extLst>
            <a:ext uri="{FF2B5EF4-FFF2-40B4-BE49-F238E27FC236}">
              <a16:creationId xmlns:a16="http://schemas.microsoft.com/office/drawing/2014/main" id="{842D0267-0C25-4D23-9753-66933B0C313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8" name="CaixaDeTexto 2097">
          <a:extLst>
            <a:ext uri="{FF2B5EF4-FFF2-40B4-BE49-F238E27FC236}">
              <a16:creationId xmlns:a16="http://schemas.microsoft.com/office/drawing/2014/main" id="{9E95D70F-AA8C-476C-B0A3-C87032DEF81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099" name="CaixaDeTexto 2098">
          <a:extLst>
            <a:ext uri="{FF2B5EF4-FFF2-40B4-BE49-F238E27FC236}">
              <a16:creationId xmlns:a16="http://schemas.microsoft.com/office/drawing/2014/main" id="{610D6D67-94BD-4335-8111-1AC0930E6D5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0" name="CaixaDeTexto 2099">
          <a:extLst>
            <a:ext uri="{FF2B5EF4-FFF2-40B4-BE49-F238E27FC236}">
              <a16:creationId xmlns:a16="http://schemas.microsoft.com/office/drawing/2014/main" id="{B7F9DDFA-FA90-43B1-9947-BEEE4702DE0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1" name="CaixaDeTexto 2100">
          <a:extLst>
            <a:ext uri="{FF2B5EF4-FFF2-40B4-BE49-F238E27FC236}">
              <a16:creationId xmlns:a16="http://schemas.microsoft.com/office/drawing/2014/main" id="{050309BA-2F23-4CAD-9DE1-2018E7BF4B0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2" name="CaixaDeTexto 2101">
          <a:extLst>
            <a:ext uri="{FF2B5EF4-FFF2-40B4-BE49-F238E27FC236}">
              <a16:creationId xmlns:a16="http://schemas.microsoft.com/office/drawing/2014/main" id="{09DC8BDB-2C86-428E-BED1-5FA2F4A6AAF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3" name="CaixaDeTexto 2102">
          <a:extLst>
            <a:ext uri="{FF2B5EF4-FFF2-40B4-BE49-F238E27FC236}">
              <a16:creationId xmlns:a16="http://schemas.microsoft.com/office/drawing/2014/main" id="{81109755-189C-495B-B6BB-E91974B539F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4" name="CaixaDeTexto 2103">
          <a:extLst>
            <a:ext uri="{FF2B5EF4-FFF2-40B4-BE49-F238E27FC236}">
              <a16:creationId xmlns:a16="http://schemas.microsoft.com/office/drawing/2014/main" id="{FD9D8377-CD47-4C07-9C00-22D2A2838E1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5" name="CaixaDeTexto 2104">
          <a:extLst>
            <a:ext uri="{FF2B5EF4-FFF2-40B4-BE49-F238E27FC236}">
              <a16:creationId xmlns:a16="http://schemas.microsoft.com/office/drawing/2014/main" id="{BA3B7295-8A32-4FD5-8EE2-1E348377638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6" name="CaixaDeTexto 2105">
          <a:extLst>
            <a:ext uri="{FF2B5EF4-FFF2-40B4-BE49-F238E27FC236}">
              <a16:creationId xmlns:a16="http://schemas.microsoft.com/office/drawing/2014/main" id="{48DBA7FD-24E6-4004-8509-E2593BB22E0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7" name="CaixaDeTexto 2106">
          <a:extLst>
            <a:ext uri="{FF2B5EF4-FFF2-40B4-BE49-F238E27FC236}">
              <a16:creationId xmlns:a16="http://schemas.microsoft.com/office/drawing/2014/main" id="{98100D80-5AE2-4FF8-A08B-0372E87C542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8" name="CaixaDeTexto 2107">
          <a:extLst>
            <a:ext uri="{FF2B5EF4-FFF2-40B4-BE49-F238E27FC236}">
              <a16:creationId xmlns:a16="http://schemas.microsoft.com/office/drawing/2014/main" id="{F623693B-B5A6-48ED-9E47-36648561C59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09" name="CaixaDeTexto 2108">
          <a:extLst>
            <a:ext uri="{FF2B5EF4-FFF2-40B4-BE49-F238E27FC236}">
              <a16:creationId xmlns:a16="http://schemas.microsoft.com/office/drawing/2014/main" id="{12148C96-A522-4C1A-878E-6475E18C2EA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0" name="CaixaDeTexto 2109">
          <a:extLst>
            <a:ext uri="{FF2B5EF4-FFF2-40B4-BE49-F238E27FC236}">
              <a16:creationId xmlns:a16="http://schemas.microsoft.com/office/drawing/2014/main" id="{31F1B064-3C2C-458F-890A-75BDF3FD520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1" name="CaixaDeTexto 2110">
          <a:extLst>
            <a:ext uri="{FF2B5EF4-FFF2-40B4-BE49-F238E27FC236}">
              <a16:creationId xmlns:a16="http://schemas.microsoft.com/office/drawing/2014/main" id="{306BCD48-0231-4C97-83D2-A400C6E4125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2" name="CaixaDeTexto 2111">
          <a:extLst>
            <a:ext uri="{FF2B5EF4-FFF2-40B4-BE49-F238E27FC236}">
              <a16:creationId xmlns:a16="http://schemas.microsoft.com/office/drawing/2014/main" id="{CA649B47-130E-4655-B3BD-358C8E43DAF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3" name="CaixaDeTexto 2112">
          <a:extLst>
            <a:ext uri="{FF2B5EF4-FFF2-40B4-BE49-F238E27FC236}">
              <a16:creationId xmlns:a16="http://schemas.microsoft.com/office/drawing/2014/main" id="{627CDFA7-FAEB-4A28-9546-8F29C7AC614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4" name="CaixaDeTexto 2113">
          <a:extLst>
            <a:ext uri="{FF2B5EF4-FFF2-40B4-BE49-F238E27FC236}">
              <a16:creationId xmlns:a16="http://schemas.microsoft.com/office/drawing/2014/main" id="{CBBD7DB8-5B93-4E6E-9D75-39E211A29B1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5" name="CaixaDeTexto 2114">
          <a:extLst>
            <a:ext uri="{FF2B5EF4-FFF2-40B4-BE49-F238E27FC236}">
              <a16:creationId xmlns:a16="http://schemas.microsoft.com/office/drawing/2014/main" id="{5EE8C31B-9271-46FC-96F4-5C798173D83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16" name="CaixaDeTexto 2115">
          <a:extLst>
            <a:ext uri="{FF2B5EF4-FFF2-40B4-BE49-F238E27FC236}">
              <a16:creationId xmlns:a16="http://schemas.microsoft.com/office/drawing/2014/main" id="{EF236F7F-AFBA-48F9-B4EC-1ABD43B941B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17" name="CaixaDeTexto 2116">
          <a:extLst>
            <a:ext uri="{FF2B5EF4-FFF2-40B4-BE49-F238E27FC236}">
              <a16:creationId xmlns:a16="http://schemas.microsoft.com/office/drawing/2014/main" id="{2336A1FD-97CB-4031-BF2E-EF51F85645AA}"/>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18" name="CaixaDeTexto 2117">
          <a:extLst>
            <a:ext uri="{FF2B5EF4-FFF2-40B4-BE49-F238E27FC236}">
              <a16:creationId xmlns:a16="http://schemas.microsoft.com/office/drawing/2014/main" id="{6F3AA13E-8138-41E8-884E-CC9B7222DC6C}"/>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19" name="CaixaDeTexto 2118">
          <a:extLst>
            <a:ext uri="{FF2B5EF4-FFF2-40B4-BE49-F238E27FC236}">
              <a16:creationId xmlns:a16="http://schemas.microsoft.com/office/drawing/2014/main" id="{D2291836-98F7-47CB-8E44-6537941E9D0D}"/>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0" name="CaixaDeTexto 2119">
          <a:extLst>
            <a:ext uri="{FF2B5EF4-FFF2-40B4-BE49-F238E27FC236}">
              <a16:creationId xmlns:a16="http://schemas.microsoft.com/office/drawing/2014/main" id="{B2B784EE-3B22-4794-93CD-052A3DD007EE}"/>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1" name="CaixaDeTexto 2120">
          <a:extLst>
            <a:ext uri="{FF2B5EF4-FFF2-40B4-BE49-F238E27FC236}">
              <a16:creationId xmlns:a16="http://schemas.microsoft.com/office/drawing/2014/main" id="{94931C3E-E772-41FC-B17B-5C8C3873BFD3}"/>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2" name="CaixaDeTexto 2121">
          <a:extLst>
            <a:ext uri="{FF2B5EF4-FFF2-40B4-BE49-F238E27FC236}">
              <a16:creationId xmlns:a16="http://schemas.microsoft.com/office/drawing/2014/main" id="{F66F415E-AE90-4CD8-9B34-23EDFF6DCAD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3" name="CaixaDeTexto 2122">
          <a:extLst>
            <a:ext uri="{FF2B5EF4-FFF2-40B4-BE49-F238E27FC236}">
              <a16:creationId xmlns:a16="http://schemas.microsoft.com/office/drawing/2014/main" id="{6DDA798D-75EE-452F-8FB8-CDCD82098D8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4" name="CaixaDeTexto 2123">
          <a:extLst>
            <a:ext uri="{FF2B5EF4-FFF2-40B4-BE49-F238E27FC236}">
              <a16:creationId xmlns:a16="http://schemas.microsoft.com/office/drawing/2014/main" id="{C3C44246-A261-4A36-A517-20212CFA83D3}"/>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5" name="CaixaDeTexto 2124">
          <a:extLst>
            <a:ext uri="{FF2B5EF4-FFF2-40B4-BE49-F238E27FC236}">
              <a16:creationId xmlns:a16="http://schemas.microsoft.com/office/drawing/2014/main" id="{0D7B6D02-374A-492B-B3C4-F92EA7DA478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488</xdr:row>
      <xdr:rowOff>0</xdr:rowOff>
    </xdr:from>
    <xdr:ext cx="184731" cy="264560"/>
    <xdr:sp macro="" textlink="">
      <xdr:nvSpPr>
        <xdr:cNvPr id="2126" name="CaixaDeTexto 2125">
          <a:extLst>
            <a:ext uri="{FF2B5EF4-FFF2-40B4-BE49-F238E27FC236}">
              <a16:creationId xmlns:a16="http://schemas.microsoft.com/office/drawing/2014/main" id="{4C4EF63C-2FAF-4F8E-A52E-8F7F4E3EB0E1}"/>
            </a:ext>
          </a:extLst>
        </xdr:cNvPr>
        <xdr:cNvSpPr txBox="1"/>
      </xdr:nvSpPr>
      <xdr:spPr>
        <a:xfrm>
          <a:off x="5275157" y="977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7" name="CaixaDeTexto 2126">
          <a:extLst>
            <a:ext uri="{FF2B5EF4-FFF2-40B4-BE49-F238E27FC236}">
              <a16:creationId xmlns:a16="http://schemas.microsoft.com/office/drawing/2014/main" id="{155039B4-F0EA-43C2-B811-0C3998A395F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128" name="CaixaDeTexto 2127">
          <a:extLst>
            <a:ext uri="{FF2B5EF4-FFF2-40B4-BE49-F238E27FC236}">
              <a16:creationId xmlns:a16="http://schemas.microsoft.com/office/drawing/2014/main" id="{E4BC2AEE-10F0-4288-B940-4AADF63D5EBC}"/>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29" name="CaixaDeTexto 2128">
          <a:extLst>
            <a:ext uri="{FF2B5EF4-FFF2-40B4-BE49-F238E27FC236}">
              <a16:creationId xmlns:a16="http://schemas.microsoft.com/office/drawing/2014/main" id="{38DE1397-9187-4619-A14C-5913B836291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0" name="CaixaDeTexto 2129">
          <a:extLst>
            <a:ext uri="{FF2B5EF4-FFF2-40B4-BE49-F238E27FC236}">
              <a16:creationId xmlns:a16="http://schemas.microsoft.com/office/drawing/2014/main" id="{176005F3-9E2D-4488-8E6E-48A894ABB894}"/>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1" name="CaixaDeTexto 2130">
          <a:extLst>
            <a:ext uri="{FF2B5EF4-FFF2-40B4-BE49-F238E27FC236}">
              <a16:creationId xmlns:a16="http://schemas.microsoft.com/office/drawing/2014/main" id="{FB0FF914-5C38-4DFD-87EF-C9016900674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2" name="CaixaDeTexto 2131">
          <a:extLst>
            <a:ext uri="{FF2B5EF4-FFF2-40B4-BE49-F238E27FC236}">
              <a16:creationId xmlns:a16="http://schemas.microsoft.com/office/drawing/2014/main" id="{3096CC47-01F8-4004-8000-1C7FE4D6C631}"/>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3" name="CaixaDeTexto 2132">
          <a:extLst>
            <a:ext uri="{FF2B5EF4-FFF2-40B4-BE49-F238E27FC236}">
              <a16:creationId xmlns:a16="http://schemas.microsoft.com/office/drawing/2014/main" id="{FF1ECEF2-F5A6-4B4F-9338-70A5D65F935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4" name="CaixaDeTexto 2133">
          <a:extLst>
            <a:ext uri="{FF2B5EF4-FFF2-40B4-BE49-F238E27FC236}">
              <a16:creationId xmlns:a16="http://schemas.microsoft.com/office/drawing/2014/main" id="{07BA0883-FB6C-4836-8008-781F1FEAF54E}"/>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5" name="CaixaDeTexto 2134">
          <a:extLst>
            <a:ext uri="{FF2B5EF4-FFF2-40B4-BE49-F238E27FC236}">
              <a16:creationId xmlns:a16="http://schemas.microsoft.com/office/drawing/2014/main" id="{1B2EA827-E118-45C2-B9A3-94258BD8E73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36" name="CaixaDeTexto 2135">
          <a:extLst>
            <a:ext uri="{FF2B5EF4-FFF2-40B4-BE49-F238E27FC236}">
              <a16:creationId xmlns:a16="http://schemas.microsoft.com/office/drawing/2014/main" id="{2DFF26A5-5AAC-4717-ABAE-CF7C22B34110}"/>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137" name="CaixaDeTexto 2136">
          <a:extLst>
            <a:ext uri="{FF2B5EF4-FFF2-40B4-BE49-F238E27FC236}">
              <a16:creationId xmlns:a16="http://schemas.microsoft.com/office/drawing/2014/main" id="{4748101D-C131-413B-80CE-535D7AE566F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38" name="CaixaDeTexto 2137">
          <a:extLst>
            <a:ext uri="{FF2B5EF4-FFF2-40B4-BE49-F238E27FC236}">
              <a16:creationId xmlns:a16="http://schemas.microsoft.com/office/drawing/2014/main" id="{E235F376-92B2-48CD-861E-A8B4550095B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39" name="CaixaDeTexto 2138">
          <a:extLst>
            <a:ext uri="{FF2B5EF4-FFF2-40B4-BE49-F238E27FC236}">
              <a16:creationId xmlns:a16="http://schemas.microsoft.com/office/drawing/2014/main" id="{7DF1A177-7CFA-4245-B4B0-5D6786BE606E}"/>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40" name="CaixaDeTexto 2139">
          <a:extLst>
            <a:ext uri="{FF2B5EF4-FFF2-40B4-BE49-F238E27FC236}">
              <a16:creationId xmlns:a16="http://schemas.microsoft.com/office/drawing/2014/main" id="{36B3B283-1531-46DB-87BB-FD7737037B8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1" name="CaixaDeTexto 2140">
          <a:extLst>
            <a:ext uri="{FF2B5EF4-FFF2-40B4-BE49-F238E27FC236}">
              <a16:creationId xmlns:a16="http://schemas.microsoft.com/office/drawing/2014/main" id="{D2AEF158-0C05-41E2-AB56-9C1306FC8687}"/>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2" name="CaixaDeTexto 2141">
          <a:extLst>
            <a:ext uri="{FF2B5EF4-FFF2-40B4-BE49-F238E27FC236}">
              <a16:creationId xmlns:a16="http://schemas.microsoft.com/office/drawing/2014/main" id="{88AE44E8-3EC2-4F91-8576-77D1AE36E183}"/>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3" name="CaixaDeTexto 2142">
          <a:extLst>
            <a:ext uri="{FF2B5EF4-FFF2-40B4-BE49-F238E27FC236}">
              <a16:creationId xmlns:a16="http://schemas.microsoft.com/office/drawing/2014/main" id="{AF46E15C-A6A3-4D02-9E40-F66E107D076C}"/>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4" name="CaixaDeTexto 2143">
          <a:extLst>
            <a:ext uri="{FF2B5EF4-FFF2-40B4-BE49-F238E27FC236}">
              <a16:creationId xmlns:a16="http://schemas.microsoft.com/office/drawing/2014/main" id="{6190EBB2-C5E0-470C-95A6-2547F45A78FE}"/>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5" name="CaixaDeTexto 2144">
          <a:extLst>
            <a:ext uri="{FF2B5EF4-FFF2-40B4-BE49-F238E27FC236}">
              <a16:creationId xmlns:a16="http://schemas.microsoft.com/office/drawing/2014/main" id="{60694B04-1F1C-4D1B-86F5-8117E6C3D9C5}"/>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6" name="CaixaDeTexto 2145">
          <a:extLst>
            <a:ext uri="{FF2B5EF4-FFF2-40B4-BE49-F238E27FC236}">
              <a16:creationId xmlns:a16="http://schemas.microsoft.com/office/drawing/2014/main" id="{BA60AC07-4DB4-44BA-9FE7-6C0C55E2592E}"/>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47" name="CaixaDeTexto 2146">
          <a:extLst>
            <a:ext uri="{FF2B5EF4-FFF2-40B4-BE49-F238E27FC236}">
              <a16:creationId xmlns:a16="http://schemas.microsoft.com/office/drawing/2014/main" id="{5036371F-23BB-4C2A-BE4A-5AB2C82A206D}"/>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48" name="CaixaDeTexto 2147">
          <a:extLst>
            <a:ext uri="{FF2B5EF4-FFF2-40B4-BE49-F238E27FC236}">
              <a16:creationId xmlns:a16="http://schemas.microsoft.com/office/drawing/2014/main" id="{35E1FA4F-8421-4260-B341-C33AE760CAA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49" name="CaixaDeTexto 2148">
          <a:extLst>
            <a:ext uri="{FF2B5EF4-FFF2-40B4-BE49-F238E27FC236}">
              <a16:creationId xmlns:a16="http://schemas.microsoft.com/office/drawing/2014/main" id="{DE018C1D-2EE6-4779-9D4D-2FC10E75BB8E}"/>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0" name="CaixaDeTexto 2149">
          <a:extLst>
            <a:ext uri="{FF2B5EF4-FFF2-40B4-BE49-F238E27FC236}">
              <a16:creationId xmlns:a16="http://schemas.microsoft.com/office/drawing/2014/main" id="{6D3D784B-25AE-4CE0-B1EF-D5C1580A4B4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1" name="CaixaDeTexto 2150">
          <a:extLst>
            <a:ext uri="{FF2B5EF4-FFF2-40B4-BE49-F238E27FC236}">
              <a16:creationId xmlns:a16="http://schemas.microsoft.com/office/drawing/2014/main" id="{600EC9A2-C9AD-4ACE-99E5-C24837D6661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2" name="CaixaDeTexto 2151">
          <a:extLst>
            <a:ext uri="{FF2B5EF4-FFF2-40B4-BE49-F238E27FC236}">
              <a16:creationId xmlns:a16="http://schemas.microsoft.com/office/drawing/2014/main" id="{BE8728CF-17FC-4200-99A5-5DA8BB65D34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3" name="CaixaDeTexto 2152">
          <a:extLst>
            <a:ext uri="{FF2B5EF4-FFF2-40B4-BE49-F238E27FC236}">
              <a16:creationId xmlns:a16="http://schemas.microsoft.com/office/drawing/2014/main" id="{8B08367F-E47B-44D1-A110-400B79786C2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4" name="CaixaDeTexto 2153">
          <a:extLst>
            <a:ext uri="{FF2B5EF4-FFF2-40B4-BE49-F238E27FC236}">
              <a16:creationId xmlns:a16="http://schemas.microsoft.com/office/drawing/2014/main" id="{20E7F8F2-F061-4E1B-94A8-A88E7609967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5" name="CaixaDeTexto 2154">
          <a:extLst>
            <a:ext uri="{FF2B5EF4-FFF2-40B4-BE49-F238E27FC236}">
              <a16:creationId xmlns:a16="http://schemas.microsoft.com/office/drawing/2014/main" id="{A6465FB3-93AC-45EA-8F92-563D68156ED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6" name="CaixaDeTexto 2155">
          <a:extLst>
            <a:ext uri="{FF2B5EF4-FFF2-40B4-BE49-F238E27FC236}">
              <a16:creationId xmlns:a16="http://schemas.microsoft.com/office/drawing/2014/main" id="{6A2FC10C-72C4-4B9E-94CA-00324036DF7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7" name="CaixaDeTexto 2156">
          <a:extLst>
            <a:ext uri="{FF2B5EF4-FFF2-40B4-BE49-F238E27FC236}">
              <a16:creationId xmlns:a16="http://schemas.microsoft.com/office/drawing/2014/main" id="{6DA2CA66-4092-48A2-B672-8D63A51F707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8" name="CaixaDeTexto 2157">
          <a:extLst>
            <a:ext uri="{FF2B5EF4-FFF2-40B4-BE49-F238E27FC236}">
              <a16:creationId xmlns:a16="http://schemas.microsoft.com/office/drawing/2014/main" id="{44D9229D-447B-4141-995F-37F972C03B2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59" name="CaixaDeTexto 2158">
          <a:extLst>
            <a:ext uri="{FF2B5EF4-FFF2-40B4-BE49-F238E27FC236}">
              <a16:creationId xmlns:a16="http://schemas.microsoft.com/office/drawing/2014/main" id="{4F52E3DA-66E3-4E56-8CAC-F38BFD7D3BE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0" name="CaixaDeTexto 2159">
          <a:extLst>
            <a:ext uri="{FF2B5EF4-FFF2-40B4-BE49-F238E27FC236}">
              <a16:creationId xmlns:a16="http://schemas.microsoft.com/office/drawing/2014/main" id="{219BFF7E-7ED7-4238-9709-A92C64DCE44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1" name="CaixaDeTexto 2160">
          <a:extLst>
            <a:ext uri="{FF2B5EF4-FFF2-40B4-BE49-F238E27FC236}">
              <a16:creationId xmlns:a16="http://schemas.microsoft.com/office/drawing/2014/main" id="{957A4D15-B096-4EBF-93E0-4D6EF7B0CF0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2" name="CaixaDeTexto 2161">
          <a:extLst>
            <a:ext uri="{FF2B5EF4-FFF2-40B4-BE49-F238E27FC236}">
              <a16:creationId xmlns:a16="http://schemas.microsoft.com/office/drawing/2014/main" id="{E3FAB562-DB28-43AB-BD52-20180D43F53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3" name="CaixaDeTexto 2162">
          <a:extLst>
            <a:ext uri="{FF2B5EF4-FFF2-40B4-BE49-F238E27FC236}">
              <a16:creationId xmlns:a16="http://schemas.microsoft.com/office/drawing/2014/main" id="{1C034E29-E542-4E98-8831-A015FD0846E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4" name="CaixaDeTexto 2163">
          <a:extLst>
            <a:ext uri="{FF2B5EF4-FFF2-40B4-BE49-F238E27FC236}">
              <a16:creationId xmlns:a16="http://schemas.microsoft.com/office/drawing/2014/main" id="{69F376C1-652D-42EC-80C9-33965CF837F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5" name="CaixaDeTexto 2164">
          <a:extLst>
            <a:ext uri="{FF2B5EF4-FFF2-40B4-BE49-F238E27FC236}">
              <a16:creationId xmlns:a16="http://schemas.microsoft.com/office/drawing/2014/main" id="{AC61FCEC-8483-4175-AEB9-01075ECC8834}"/>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6" name="CaixaDeTexto 2165">
          <a:extLst>
            <a:ext uri="{FF2B5EF4-FFF2-40B4-BE49-F238E27FC236}">
              <a16:creationId xmlns:a16="http://schemas.microsoft.com/office/drawing/2014/main" id="{C46B9E45-70A9-409C-95FB-1A9D2BBB7872}"/>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7" name="CaixaDeTexto 2166">
          <a:extLst>
            <a:ext uri="{FF2B5EF4-FFF2-40B4-BE49-F238E27FC236}">
              <a16:creationId xmlns:a16="http://schemas.microsoft.com/office/drawing/2014/main" id="{666D5910-5997-41A0-96A2-ACD710E21E0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8" name="CaixaDeTexto 2167">
          <a:extLst>
            <a:ext uri="{FF2B5EF4-FFF2-40B4-BE49-F238E27FC236}">
              <a16:creationId xmlns:a16="http://schemas.microsoft.com/office/drawing/2014/main" id="{5D9075B8-7169-4617-ACA5-968B3CF5137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69" name="CaixaDeTexto 2168">
          <a:extLst>
            <a:ext uri="{FF2B5EF4-FFF2-40B4-BE49-F238E27FC236}">
              <a16:creationId xmlns:a16="http://schemas.microsoft.com/office/drawing/2014/main" id="{990085FD-3F7B-4460-B05F-DA9284E1B77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0" name="CaixaDeTexto 2169">
          <a:extLst>
            <a:ext uri="{FF2B5EF4-FFF2-40B4-BE49-F238E27FC236}">
              <a16:creationId xmlns:a16="http://schemas.microsoft.com/office/drawing/2014/main" id="{2B7FF22E-B084-4034-A08C-40F64121606B}"/>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1" name="CaixaDeTexto 2170">
          <a:extLst>
            <a:ext uri="{FF2B5EF4-FFF2-40B4-BE49-F238E27FC236}">
              <a16:creationId xmlns:a16="http://schemas.microsoft.com/office/drawing/2014/main" id="{D21C9B0D-172A-4E3D-A847-F8B9B740CDA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2" name="CaixaDeTexto 2171">
          <a:extLst>
            <a:ext uri="{FF2B5EF4-FFF2-40B4-BE49-F238E27FC236}">
              <a16:creationId xmlns:a16="http://schemas.microsoft.com/office/drawing/2014/main" id="{5A015ED4-FB1D-4E5A-9C74-84D0190DB28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3" name="CaixaDeTexto 2172">
          <a:extLst>
            <a:ext uri="{FF2B5EF4-FFF2-40B4-BE49-F238E27FC236}">
              <a16:creationId xmlns:a16="http://schemas.microsoft.com/office/drawing/2014/main" id="{D39F2922-45B3-4C2A-B51C-DC211E936B8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4" name="CaixaDeTexto 2173">
          <a:extLst>
            <a:ext uri="{FF2B5EF4-FFF2-40B4-BE49-F238E27FC236}">
              <a16:creationId xmlns:a16="http://schemas.microsoft.com/office/drawing/2014/main" id="{312C5C6A-AB65-441C-92EA-15AB7EF001D5}"/>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5" name="CaixaDeTexto 2174">
          <a:extLst>
            <a:ext uri="{FF2B5EF4-FFF2-40B4-BE49-F238E27FC236}">
              <a16:creationId xmlns:a16="http://schemas.microsoft.com/office/drawing/2014/main" id="{1F9B7C66-A522-4B21-9BE9-B4433261471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6" name="CaixaDeTexto 2175">
          <a:extLst>
            <a:ext uri="{FF2B5EF4-FFF2-40B4-BE49-F238E27FC236}">
              <a16:creationId xmlns:a16="http://schemas.microsoft.com/office/drawing/2014/main" id="{492EE03D-881D-4BDB-AFEB-8A845F86C30D}"/>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7" name="CaixaDeTexto 2176">
          <a:extLst>
            <a:ext uri="{FF2B5EF4-FFF2-40B4-BE49-F238E27FC236}">
              <a16:creationId xmlns:a16="http://schemas.microsoft.com/office/drawing/2014/main" id="{24004117-6AF5-4505-9CE2-62B98E351C0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8" name="CaixaDeTexto 2177">
          <a:extLst>
            <a:ext uri="{FF2B5EF4-FFF2-40B4-BE49-F238E27FC236}">
              <a16:creationId xmlns:a16="http://schemas.microsoft.com/office/drawing/2014/main" id="{9497EDBA-0B8A-40C1-B593-B16614153BFC}"/>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79" name="CaixaDeTexto 2178">
          <a:extLst>
            <a:ext uri="{FF2B5EF4-FFF2-40B4-BE49-F238E27FC236}">
              <a16:creationId xmlns:a16="http://schemas.microsoft.com/office/drawing/2014/main" id="{E9824FC2-B562-40F7-AEF4-CBFF54BE9F8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0" name="CaixaDeTexto 2179">
          <a:extLst>
            <a:ext uri="{FF2B5EF4-FFF2-40B4-BE49-F238E27FC236}">
              <a16:creationId xmlns:a16="http://schemas.microsoft.com/office/drawing/2014/main" id="{30900620-B89E-4C8B-ACB7-4B881C1EB45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1" name="CaixaDeTexto 2180">
          <a:extLst>
            <a:ext uri="{FF2B5EF4-FFF2-40B4-BE49-F238E27FC236}">
              <a16:creationId xmlns:a16="http://schemas.microsoft.com/office/drawing/2014/main" id="{C3B3EA07-B421-4E9C-B714-979DB580ED30}"/>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2" name="CaixaDeTexto 2181">
          <a:extLst>
            <a:ext uri="{FF2B5EF4-FFF2-40B4-BE49-F238E27FC236}">
              <a16:creationId xmlns:a16="http://schemas.microsoft.com/office/drawing/2014/main" id="{EFF96F73-4389-4C02-A7F6-AA8FB1B9F1B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3" name="CaixaDeTexto 2182">
          <a:extLst>
            <a:ext uri="{FF2B5EF4-FFF2-40B4-BE49-F238E27FC236}">
              <a16:creationId xmlns:a16="http://schemas.microsoft.com/office/drawing/2014/main" id="{13658673-3C30-428D-AD26-7B84D3B5101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4" name="CaixaDeTexto 2183">
          <a:extLst>
            <a:ext uri="{FF2B5EF4-FFF2-40B4-BE49-F238E27FC236}">
              <a16:creationId xmlns:a16="http://schemas.microsoft.com/office/drawing/2014/main" id="{7F68D7B6-B52E-4D2B-B8E8-B4B3B2B8D04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5" name="CaixaDeTexto 2184">
          <a:extLst>
            <a:ext uri="{FF2B5EF4-FFF2-40B4-BE49-F238E27FC236}">
              <a16:creationId xmlns:a16="http://schemas.microsoft.com/office/drawing/2014/main" id="{B80A2FFE-94FA-4960-95D2-50A473319D3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6" name="CaixaDeTexto 2185">
          <a:extLst>
            <a:ext uri="{FF2B5EF4-FFF2-40B4-BE49-F238E27FC236}">
              <a16:creationId xmlns:a16="http://schemas.microsoft.com/office/drawing/2014/main" id="{922C8C70-AF0A-439F-BBAE-A80C42E103C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7" name="CaixaDeTexto 2186">
          <a:extLst>
            <a:ext uri="{FF2B5EF4-FFF2-40B4-BE49-F238E27FC236}">
              <a16:creationId xmlns:a16="http://schemas.microsoft.com/office/drawing/2014/main" id="{8BCC586C-9B01-4AE4-B676-0C721F58044F}"/>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8" name="CaixaDeTexto 2187">
          <a:extLst>
            <a:ext uri="{FF2B5EF4-FFF2-40B4-BE49-F238E27FC236}">
              <a16:creationId xmlns:a16="http://schemas.microsoft.com/office/drawing/2014/main" id="{69CB103A-AF63-4403-8780-B3EF47DE0337}"/>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89" name="CaixaDeTexto 2188">
          <a:extLst>
            <a:ext uri="{FF2B5EF4-FFF2-40B4-BE49-F238E27FC236}">
              <a16:creationId xmlns:a16="http://schemas.microsoft.com/office/drawing/2014/main" id="{277A5F16-F0C9-458E-BFE8-C64AB2372971}"/>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90" name="CaixaDeTexto 2189">
          <a:extLst>
            <a:ext uri="{FF2B5EF4-FFF2-40B4-BE49-F238E27FC236}">
              <a16:creationId xmlns:a16="http://schemas.microsoft.com/office/drawing/2014/main" id="{3F29C1E6-1BD3-489C-9D18-8A51DD1AB868}"/>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91" name="CaixaDeTexto 2190">
          <a:extLst>
            <a:ext uri="{FF2B5EF4-FFF2-40B4-BE49-F238E27FC236}">
              <a16:creationId xmlns:a16="http://schemas.microsoft.com/office/drawing/2014/main" id="{0917B6DE-36B7-4611-9149-912AA99A9D29}"/>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192" name="CaixaDeTexto 2191">
          <a:extLst>
            <a:ext uri="{FF2B5EF4-FFF2-40B4-BE49-F238E27FC236}">
              <a16:creationId xmlns:a16="http://schemas.microsoft.com/office/drawing/2014/main" id="{9CFD3426-95BA-4783-B0D4-FE0A776FDDDA}"/>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93" name="CaixaDeTexto 2192">
          <a:extLst>
            <a:ext uri="{FF2B5EF4-FFF2-40B4-BE49-F238E27FC236}">
              <a16:creationId xmlns:a16="http://schemas.microsoft.com/office/drawing/2014/main" id="{03216E97-3709-4197-9695-E2E6B58D4BC0}"/>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94" name="CaixaDeTexto 2193">
          <a:extLst>
            <a:ext uri="{FF2B5EF4-FFF2-40B4-BE49-F238E27FC236}">
              <a16:creationId xmlns:a16="http://schemas.microsoft.com/office/drawing/2014/main" id="{26FEF36B-6629-4C40-9440-315C4AA85984}"/>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195" name="CaixaDeTexto 2194">
          <a:extLst>
            <a:ext uri="{FF2B5EF4-FFF2-40B4-BE49-F238E27FC236}">
              <a16:creationId xmlns:a16="http://schemas.microsoft.com/office/drawing/2014/main" id="{FF6A8C71-4965-4059-BDD3-1F16DB6D8B17}"/>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96" name="CaixaDeTexto 2195">
          <a:extLst>
            <a:ext uri="{FF2B5EF4-FFF2-40B4-BE49-F238E27FC236}">
              <a16:creationId xmlns:a16="http://schemas.microsoft.com/office/drawing/2014/main" id="{47C0C75F-1692-4C08-A556-A9EDB57A15B4}"/>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97" name="CaixaDeTexto 2196">
          <a:extLst>
            <a:ext uri="{FF2B5EF4-FFF2-40B4-BE49-F238E27FC236}">
              <a16:creationId xmlns:a16="http://schemas.microsoft.com/office/drawing/2014/main" id="{D4432FB2-001F-490A-A21E-E1C54671DCD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98" name="CaixaDeTexto 2197">
          <a:extLst>
            <a:ext uri="{FF2B5EF4-FFF2-40B4-BE49-F238E27FC236}">
              <a16:creationId xmlns:a16="http://schemas.microsoft.com/office/drawing/2014/main" id="{C6BC9998-299B-4F8F-AD73-A1AAFBFAC368}"/>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199" name="CaixaDeTexto 2198">
          <a:extLst>
            <a:ext uri="{FF2B5EF4-FFF2-40B4-BE49-F238E27FC236}">
              <a16:creationId xmlns:a16="http://schemas.microsoft.com/office/drawing/2014/main" id="{586D131D-BAD4-47CF-8417-FC40F526F0F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0" name="CaixaDeTexto 2199">
          <a:extLst>
            <a:ext uri="{FF2B5EF4-FFF2-40B4-BE49-F238E27FC236}">
              <a16:creationId xmlns:a16="http://schemas.microsoft.com/office/drawing/2014/main" id="{278EE4AF-25EC-4A61-9582-D819CE9CC22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1" name="CaixaDeTexto 2200">
          <a:extLst>
            <a:ext uri="{FF2B5EF4-FFF2-40B4-BE49-F238E27FC236}">
              <a16:creationId xmlns:a16="http://schemas.microsoft.com/office/drawing/2014/main" id="{6EC39DFD-DA14-4866-BD22-0B3F02FC79F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488</xdr:row>
      <xdr:rowOff>0</xdr:rowOff>
    </xdr:from>
    <xdr:ext cx="184731" cy="264560"/>
    <xdr:sp macro="" textlink="">
      <xdr:nvSpPr>
        <xdr:cNvPr id="2202" name="CaixaDeTexto 2201">
          <a:extLst>
            <a:ext uri="{FF2B5EF4-FFF2-40B4-BE49-F238E27FC236}">
              <a16:creationId xmlns:a16="http://schemas.microsoft.com/office/drawing/2014/main" id="{409DE1B9-3043-4D1C-886C-1AD134498413}"/>
            </a:ext>
          </a:extLst>
        </xdr:cNvPr>
        <xdr:cNvSpPr txBox="1"/>
      </xdr:nvSpPr>
      <xdr:spPr>
        <a:xfrm>
          <a:off x="5275157" y="977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3" name="CaixaDeTexto 2202">
          <a:extLst>
            <a:ext uri="{FF2B5EF4-FFF2-40B4-BE49-F238E27FC236}">
              <a16:creationId xmlns:a16="http://schemas.microsoft.com/office/drawing/2014/main" id="{F69D8864-196A-46ED-B449-3AC1F6821654}"/>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04" name="CaixaDeTexto 2203">
          <a:extLst>
            <a:ext uri="{FF2B5EF4-FFF2-40B4-BE49-F238E27FC236}">
              <a16:creationId xmlns:a16="http://schemas.microsoft.com/office/drawing/2014/main" id="{1EB5CDA2-048F-4197-B365-537DB70AC6B5}"/>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5" name="CaixaDeTexto 2204">
          <a:extLst>
            <a:ext uri="{FF2B5EF4-FFF2-40B4-BE49-F238E27FC236}">
              <a16:creationId xmlns:a16="http://schemas.microsoft.com/office/drawing/2014/main" id="{CDD7F02C-A5B5-4D67-863D-37DF3B1D4DC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6" name="CaixaDeTexto 2205">
          <a:extLst>
            <a:ext uri="{FF2B5EF4-FFF2-40B4-BE49-F238E27FC236}">
              <a16:creationId xmlns:a16="http://schemas.microsoft.com/office/drawing/2014/main" id="{ED6E74C2-924B-4E37-9F6E-9A5217232002}"/>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7" name="CaixaDeTexto 2206">
          <a:extLst>
            <a:ext uri="{FF2B5EF4-FFF2-40B4-BE49-F238E27FC236}">
              <a16:creationId xmlns:a16="http://schemas.microsoft.com/office/drawing/2014/main" id="{AF678466-7F00-4E82-8453-1D5A302D3F0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8" name="CaixaDeTexto 2207">
          <a:extLst>
            <a:ext uri="{FF2B5EF4-FFF2-40B4-BE49-F238E27FC236}">
              <a16:creationId xmlns:a16="http://schemas.microsoft.com/office/drawing/2014/main" id="{5D83E020-9012-47FA-BEE8-0B32D4B819E6}"/>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09" name="CaixaDeTexto 2208">
          <a:extLst>
            <a:ext uri="{FF2B5EF4-FFF2-40B4-BE49-F238E27FC236}">
              <a16:creationId xmlns:a16="http://schemas.microsoft.com/office/drawing/2014/main" id="{DFACC0A1-0A97-43A6-8B40-85DF745BF952}"/>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10" name="CaixaDeTexto 2209">
          <a:extLst>
            <a:ext uri="{FF2B5EF4-FFF2-40B4-BE49-F238E27FC236}">
              <a16:creationId xmlns:a16="http://schemas.microsoft.com/office/drawing/2014/main" id="{D4D33E73-191D-4CBC-92EC-20E3B6F0B7A9}"/>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11" name="CaixaDeTexto 2210">
          <a:extLst>
            <a:ext uri="{FF2B5EF4-FFF2-40B4-BE49-F238E27FC236}">
              <a16:creationId xmlns:a16="http://schemas.microsoft.com/office/drawing/2014/main" id="{DC48A691-231D-4658-850B-5A1EB141DD97}"/>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12" name="CaixaDeTexto 2211">
          <a:extLst>
            <a:ext uri="{FF2B5EF4-FFF2-40B4-BE49-F238E27FC236}">
              <a16:creationId xmlns:a16="http://schemas.microsoft.com/office/drawing/2014/main" id="{1CE34CAE-F2A9-4EB6-B029-5CCD18385A0D}"/>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13" name="CaixaDeTexto 2212">
          <a:extLst>
            <a:ext uri="{FF2B5EF4-FFF2-40B4-BE49-F238E27FC236}">
              <a16:creationId xmlns:a16="http://schemas.microsoft.com/office/drawing/2014/main" id="{1D7357DA-C185-488C-9EED-3BD8F8218A56}"/>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214" name="CaixaDeTexto 2213">
          <a:extLst>
            <a:ext uri="{FF2B5EF4-FFF2-40B4-BE49-F238E27FC236}">
              <a16:creationId xmlns:a16="http://schemas.microsoft.com/office/drawing/2014/main" id="{86129B9F-72E2-40CA-B0B6-27AAD2113D56}"/>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15" name="CaixaDeTexto 2214">
          <a:extLst>
            <a:ext uri="{FF2B5EF4-FFF2-40B4-BE49-F238E27FC236}">
              <a16:creationId xmlns:a16="http://schemas.microsoft.com/office/drawing/2014/main" id="{2A2B41F8-7D2E-44EB-8986-981E5AF7245C}"/>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484</xdr:row>
      <xdr:rowOff>0</xdr:rowOff>
    </xdr:from>
    <xdr:ext cx="184731" cy="264560"/>
    <xdr:sp macro="" textlink="">
      <xdr:nvSpPr>
        <xdr:cNvPr id="2216" name="CaixaDeTexto 2215">
          <a:extLst>
            <a:ext uri="{FF2B5EF4-FFF2-40B4-BE49-F238E27FC236}">
              <a16:creationId xmlns:a16="http://schemas.microsoft.com/office/drawing/2014/main" id="{BF86CA61-DA79-4EB6-A35D-68B048BF6A93}"/>
            </a:ext>
          </a:extLst>
        </xdr:cNvPr>
        <xdr:cNvSpPr txBox="1"/>
      </xdr:nvSpPr>
      <xdr:spPr>
        <a:xfrm>
          <a:off x="5275157" y="9694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17" name="CaixaDeTexto 2216">
          <a:extLst>
            <a:ext uri="{FF2B5EF4-FFF2-40B4-BE49-F238E27FC236}">
              <a16:creationId xmlns:a16="http://schemas.microsoft.com/office/drawing/2014/main" id="{2882B474-BC6C-405B-896D-55FEB499CF9D}"/>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18" name="CaixaDeTexto 2217">
          <a:extLst>
            <a:ext uri="{FF2B5EF4-FFF2-40B4-BE49-F238E27FC236}">
              <a16:creationId xmlns:a16="http://schemas.microsoft.com/office/drawing/2014/main" id="{0BE899F6-F49D-4519-9C0F-3C4C821AC95B}"/>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19" name="CaixaDeTexto 2218">
          <a:extLst>
            <a:ext uri="{FF2B5EF4-FFF2-40B4-BE49-F238E27FC236}">
              <a16:creationId xmlns:a16="http://schemas.microsoft.com/office/drawing/2014/main" id="{EDB4AF48-0D4B-48F7-948C-1959CF24917C}"/>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20" name="CaixaDeTexto 2219">
          <a:extLst>
            <a:ext uri="{FF2B5EF4-FFF2-40B4-BE49-F238E27FC236}">
              <a16:creationId xmlns:a16="http://schemas.microsoft.com/office/drawing/2014/main" id="{77F25504-9449-4371-A862-12F927479F5D}"/>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21" name="CaixaDeTexto 2220">
          <a:extLst>
            <a:ext uri="{FF2B5EF4-FFF2-40B4-BE49-F238E27FC236}">
              <a16:creationId xmlns:a16="http://schemas.microsoft.com/office/drawing/2014/main" id="{EE5FE041-8D70-489D-9B6A-248120A6021F}"/>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22" name="CaixaDeTexto 2221">
          <a:extLst>
            <a:ext uri="{FF2B5EF4-FFF2-40B4-BE49-F238E27FC236}">
              <a16:creationId xmlns:a16="http://schemas.microsoft.com/office/drawing/2014/main" id="{1EB58AD1-3EE8-406C-ACD3-329D3F4B047C}"/>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485</xdr:row>
      <xdr:rowOff>0</xdr:rowOff>
    </xdr:from>
    <xdr:ext cx="184731" cy="264560"/>
    <xdr:sp macro="" textlink="">
      <xdr:nvSpPr>
        <xdr:cNvPr id="2223" name="CaixaDeTexto 2222">
          <a:extLst>
            <a:ext uri="{FF2B5EF4-FFF2-40B4-BE49-F238E27FC236}">
              <a16:creationId xmlns:a16="http://schemas.microsoft.com/office/drawing/2014/main" id="{C8ADB3FA-B14F-42E6-9DD6-97F0F89585C4}"/>
            </a:ext>
          </a:extLst>
        </xdr:cNvPr>
        <xdr:cNvSpPr txBox="1"/>
      </xdr:nvSpPr>
      <xdr:spPr>
        <a:xfrm>
          <a:off x="5275157" y="971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24" name="CaixaDeTexto 2223">
          <a:extLst>
            <a:ext uri="{FF2B5EF4-FFF2-40B4-BE49-F238E27FC236}">
              <a16:creationId xmlns:a16="http://schemas.microsoft.com/office/drawing/2014/main" id="{F8017691-C9E4-4342-954B-022DAB9EF70A}"/>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25" name="CaixaDeTexto 2224">
          <a:extLst>
            <a:ext uri="{FF2B5EF4-FFF2-40B4-BE49-F238E27FC236}">
              <a16:creationId xmlns:a16="http://schemas.microsoft.com/office/drawing/2014/main" id="{B5443EF3-1BC2-44C8-9645-632DFDFA9C27}"/>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26" name="CaixaDeTexto 2225">
          <a:extLst>
            <a:ext uri="{FF2B5EF4-FFF2-40B4-BE49-F238E27FC236}">
              <a16:creationId xmlns:a16="http://schemas.microsoft.com/office/drawing/2014/main" id="{F54D1267-9EEC-440C-8691-CD36AAD5183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27" name="CaixaDeTexto 2226">
          <a:extLst>
            <a:ext uri="{FF2B5EF4-FFF2-40B4-BE49-F238E27FC236}">
              <a16:creationId xmlns:a16="http://schemas.microsoft.com/office/drawing/2014/main" id="{93C4F878-EDE0-4C3A-AE08-007F3AE97B41}"/>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28" name="CaixaDeTexto 2227">
          <a:extLst>
            <a:ext uri="{FF2B5EF4-FFF2-40B4-BE49-F238E27FC236}">
              <a16:creationId xmlns:a16="http://schemas.microsoft.com/office/drawing/2014/main" id="{A04FBEA4-8D27-47E7-BC3B-405C32EFDDB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29" name="CaixaDeTexto 2228">
          <a:extLst>
            <a:ext uri="{FF2B5EF4-FFF2-40B4-BE49-F238E27FC236}">
              <a16:creationId xmlns:a16="http://schemas.microsoft.com/office/drawing/2014/main" id="{638F78A4-D173-4C4C-90FE-DED6FB8D0270}"/>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0" name="CaixaDeTexto 2229">
          <a:extLst>
            <a:ext uri="{FF2B5EF4-FFF2-40B4-BE49-F238E27FC236}">
              <a16:creationId xmlns:a16="http://schemas.microsoft.com/office/drawing/2014/main" id="{8341F954-C5DE-4306-941C-3F0CE87E9260}"/>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1" name="CaixaDeTexto 2230">
          <a:extLst>
            <a:ext uri="{FF2B5EF4-FFF2-40B4-BE49-F238E27FC236}">
              <a16:creationId xmlns:a16="http://schemas.microsoft.com/office/drawing/2014/main" id="{0541AD4B-81AE-4737-8331-C1641FE3CBEF}"/>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2" name="CaixaDeTexto 2231">
          <a:extLst>
            <a:ext uri="{FF2B5EF4-FFF2-40B4-BE49-F238E27FC236}">
              <a16:creationId xmlns:a16="http://schemas.microsoft.com/office/drawing/2014/main" id="{C7D45C1A-8F18-483A-81D8-A5DBCF4AE723}"/>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3" name="CaixaDeTexto 2232">
          <a:extLst>
            <a:ext uri="{FF2B5EF4-FFF2-40B4-BE49-F238E27FC236}">
              <a16:creationId xmlns:a16="http://schemas.microsoft.com/office/drawing/2014/main" id="{4DDD293B-D92C-484E-87A9-9BA5B8A55A17}"/>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34" name="CaixaDeTexto 2233">
          <a:extLst>
            <a:ext uri="{FF2B5EF4-FFF2-40B4-BE49-F238E27FC236}">
              <a16:creationId xmlns:a16="http://schemas.microsoft.com/office/drawing/2014/main" id="{E8C9D844-167D-4E99-95C5-ADAF324CB93B}"/>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5" name="CaixaDeTexto 2234">
          <a:extLst>
            <a:ext uri="{FF2B5EF4-FFF2-40B4-BE49-F238E27FC236}">
              <a16:creationId xmlns:a16="http://schemas.microsoft.com/office/drawing/2014/main" id="{C57F73B4-4AD8-4ED5-AA66-3AAEC5DAC919}"/>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36" name="CaixaDeTexto 2235">
          <a:extLst>
            <a:ext uri="{FF2B5EF4-FFF2-40B4-BE49-F238E27FC236}">
              <a16:creationId xmlns:a16="http://schemas.microsoft.com/office/drawing/2014/main" id="{245A5450-0CD0-41E5-8065-98898E5A483F}"/>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7" name="CaixaDeTexto 2236">
          <a:extLst>
            <a:ext uri="{FF2B5EF4-FFF2-40B4-BE49-F238E27FC236}">
              <a16:creationId xmlns:a16="http://schemas.microsoft.com/office/drawing/2014/main" id="{873454F3-B476-40A2-9934-74FFAC1A960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8" name="CaixaDeTexto 2237">
          <a:extLst>
            <a:ext uri="{FF2B5EF4-FFF2-40B4-BE49-F238E27FC236}">
              <a16:creationId xmlns:a16="http://schemas.microsoft.com/office/drawing/2014/main" id="{94C9BAAC-005C-436D-A5EC-D4A6F08C91A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39" name="CaixaDeTexto 2238">
          <a:extLst>
            <a:ext uri="{FF2B5EF4-FFF2-40B4-BE49-F238E27FC236}">
              <a16:creationId xmlns:a16="http://schemas.microsoft.com/office/drawing/2014/main" id="{0F2105B7-A7E5-4319-95B9-468D43DC86DC}"/>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0" name="CaixaDeTexto 2239">
          <a:extLst>
            <a:ext uri="{FF2B5EF4-FFF2-40B4-BE49-F238E27FC236}">
              <a16:creationId xmlns:a16="http://schemas.microsoft.com/office/drawing/2014/main" id="{2A669C80-29CA-4470-8083-5931FE40A0FC}"/>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1" name="CaixaDeTexto 2240">
          <a:extLst>
            <a:ext uri="{FF2B5EF4-FFF2-40B4-BE49-F238E27FC236}">
              <a16:creationId xmlns:a16="http://schemas.microsoft.com/office/drawing/2014/main" id="{CC342595-BF93-49A8-867F-C122A0563D2B}"/>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2" name="CaixaDeTexto 2241">
          <a:extLst>
            <a:ext uri="{FF2B5EF4-FFF2-40B4-BE49-F238E27FC236}">
              <a16:creationId xmlns:a16="http://schemas.microsoft.com/office/drawing/2014/main" id="{9F80DD01-7E35-408F-9EB4-32E48F1A60C8}"/>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3" name="CaixaDeTexto 2242">
          <a:extLst>
            <a:ext uri="{FF2B5EF4-FFF2-40B4-BE49-F238E27FC236}">
              <a16:creationId xmlns:a16="http://schemas.microsoft.com/office/drawing/2014/main" id="{B91719D3-BEEC-48F4-B217-4854F4E10CBD}"/>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44" name="CaixaDeTexto 2243">
          <a:extLst>
            <a:ext uri="{FF2B5EF4-FFF2-40B4-BE49-F238E27FC236}">
              <a16:creationId xmlns:a16="http://schemas.microsoft.com/office/drawing/2014/main" id="{874BB0B5-75DA-4951-8739-F37CA775147C}"/>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5" name="CaixaDeTexto 2244">
          <a:extLst>
            <a:ext uri="{FF2B5EF4-FFF2-40B4-BE49-F238E27FC236}">
              <a16:creationId xmlns:a16="http://schemas.microsoft.com/office/drawing/2014/main" id="{F24B77DA-57B4-4319-A9A3-46743C4D0075}"/>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486</xdr:row>
      <xdr:rowOff>0</xdr:rowOff>
    </xdr:from>
    <xdr:ext cx="184731" cy="264560"/>
    <xdr:sp macro="" textlink="">
      <xdr:nvSpPr>
        <xdr:cNvPr id="2246" name="CaixaDeTexto 2245">
          <a:extLst>
            <a:ext uri="{FF2B5EF4-FFF2-40B4-BE49-F238E27FC236}">
              <a16:creationId xmlns:a16="http://schemas.microsoft.com/office/drawing/2014/main" id="{58BA879D-CC4A-4B22-8533-567D00956F63}"/>
            </a:ext>
          </a:extLst>
        </xdr:cNvPr>
        <xdr:cNvSpPr txBox="1"/>
      </xdr:nvSpPr>
      <xdr:spPr>
        <a:xfrm>
          <a:off x="5275157" y="973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7" name="CaixaDeTexto 2246">
          <a:extLst>
            <a:ext uri="{FF2B5EF4-FFF2-40B4-BE49-F238E27FC236}">
              <a16:creationId xmlns:a16="http://schemas.microsoft.com/office/drawing/2014/main" id="{950DF3EA-D06C-4770-B035-F7987B020BCA}"/>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8" name="CaixaDeTexto 2247">
          <a:extLst>
            <a:ext uri="{FF2B5EF4-FFF2-40B4-BE49-F238E27FC236}">
              <a16:creationId xmlns:a16="http://schemas.microsoft.com/office/drawing/2014/main" id="{1A8B2816-4B0E-415C-9ABE-BF3492B5388B}"/>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49" name="CaixaDeTexto 2248">
          <a:extLst>
            <a:ext uri="{FF2B5EF4-FFF2-40B4-BE49-F238E27FC236}">
              <a16:creationId xmlns:a16="http://schemas.microsoft.com/office/drawing/2014/main" id="{D3906E3C-E4D4-4C6B-BC64-61FCC31EEEF0}"/>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50" name="CaixaDeTexto 2249">
          <a:extLst>
            <a:ext uri="{FF2B5EF4-FFF2-40B4-BE49-F238E27FC236}">
              <a16:creationId xmlns:a16="http://schemas.microsoft.com/office/drawing/2014/main" id="{C7150A4C-7E86-4CFC-B1D3-8BD94A0D3775}"/>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51" name="CaixaDeTexto 2250">
          <a:extLst>
            <a:ext uri="{FF2B5EF4-FFF2-40B4-BE49-F238E27FC236}">
              <a16:creationId xmlns:a16="http://schemas.microsoft.com/office/drawing/2014/main" id="{F7CAAB66-BE6E-411C-A36B-FD896FF4FA9E}"/>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52" name="CaixaDeTexto 2251">
          <a:extLst>
            <a:ext uri="{FF2B5EF4-FFF2-40B4-BE49-F238E27FC236}">
              <a16:creationId xmlns:a16="http://schemas.microsoft.com/office/drawing/2014/main" id="{A1F13A16-0016-450A-8C05-E734C2990C25}"/>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487</xdr:row>
      <xdr:rowOff>0</xdr:rowOff>
    </xdr:from>
    <xdr:ext cx="184731" cy="264560"/>
    <xdr:sp macro="" textlink="">
      <xdr:nvSpPr>
        <xdr:cNvPr id="2253" name="CaixaDeTexto 2252">
          <a:extLst>
            <a:ext uri="{FF2B5EF4-FFF2-40B4-BE49-F238E27FC236}">
              <a16:creationId xmlns:a16="http://schemas.microsoft.com/office/drawing/2014/main" id="{35BDC955-2236-4835-8DE5-13F623824874}"/>
            </a:ext>
          </a:extLst>
        </xdr:cNvPr>
        <xdr:cNvSpPr txBox="1"/>
      </xdr:nvSpPr>
      <xdr:spPr>
        <a:xfrm>
          <a:off x="5275157" y="975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54" name="CaixaDeTexto 2253">
          <a:extLst>
            <a:ext uri="{FF2B5EF4-FFF2-40B4-BE49-F238E27FC236}">
              <a16:creationId xmlns:a16="http://schemas.microsoft.com/office/drawing/2014/main" id="{35BE8859-F2FB-4CAA-A8AF-4FA30CA4D54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55" name="CaixaDeTexto 2254">
          <a:extLst>
            <a:ext uri="{FF2B5EF4-FFF2-40B4-BE49-F238E27FC236}">
              <a16:creationId xmlns:a16="http://schemas.microsoft.com/office/drawing/2014/main" id="{42BFF564-3B2B-41F4-A796-79EFF37B523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56" name="CaixaDeTexto 2255">
          <a:extLst>
            <a:ext uri="{FF2B5EF4-FFF2-40B4-BE49-F238E27FC236}">
              <a16:creationId xmlns:a16="http://schemas.microsoft.com/office/drawing/2014/main" id="{F89E1B16-CA10-476A-9DF8-196D56AAF7F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57" name="CaixaDeTexto 2256">
          <a:extLst>
            <a:ext uri="{FF2B5EF4-FFF2-40B4-BE49-F238E27FC236}">
              <a16:creationId xmlns:a16="http://schemas.microsoft.com/office/drawing/2014/main" id="{6CC40A1E-434C-43E5-BBF6-C1A4BDC1D47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58" name="CaixaDeTexto 2257">
          <a:extLst>
            <a:ext uri="{FF2B5EF4-FFF2-40B4-BE49-F238E27FC236}">
              <a16:creationId xmlns:a16="http://schemas.microsoft.com/office/drawing/2014/main" id="{C8A78BAD-4E74-4D80-8CC3-C3FFE124AF3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59" name="CaixaDeTexto 2258">
          <a:extLst>
            <a:ext uri="{FF2B5EF4-FFF2-40B4-BE49-F238E27FC236}">
              <a16:creationId xmlns:a16="http://schemas.microsoft.com/office/drawing/2014/main" id="{CA506EA1-5BDA-4FD8-ACC4-3F695E2C662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0" name="CaixaDeTexto 2259">
          <a:extLst>
            <a:ext uri="{FF2B5EF4-FFF2-40B4-BE49-F238E27FC236}">
              <a16:creationId xmlns:a16="http://schemas.microsoft.com/office/drawing/2014/main" id="{23044748-B887-4FE0-ABAA-AD44C3819F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1" name="CaixaDeTexto 2260">
          <a:extLst>
            <a:ext uri="{FF2B5EF4-FFF2-40B4-BE49-F238E27FC236}">
              <a16:creationId xmlns:a16="http://schemas.microsoft.com/office/drawing/2014/main" id="{8A5C4BF1-8949-4583-ABEE-F9148197D86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2" name="CaixaDeTexto 2261">
          <a:extLst>
            <a:ext uri="{FF2B5EF4-FFF2-40B4-BE49-F238E27FC236}">
              <a16:creationId xmlns:a16="http://schemas.microsoft.com/office/drawing/2014/main" id="{29270A1B-B46B-4DE1-AB50-3C6867D1451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3" name="CaixaDeTexto 2262">
          <a:extLst>
            <a:ext uri="{FF2B5EF4-FFF2-40B4-BE49-F238E27FC236}">
              <a16:creationId xmlns:a16="http://schemas.microsoft.com/office/drawing/2014/main" id="{ABDF858C-33F8-4AC2-B74B-2AA2EDE79C4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4" name="CaixaDeTexto 2263">
          <a:extLst>
            <a:ext uri="{FF2B5EF4-FFF2-40B4-BE49-F238E27FC236}">
              <a16:creationId xmlns:a16="http://schemas.microsoft.com/office/drawing/2014/main" id="{55F431C0-8EF7-4C7A-9F30-498EF439D50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5" name="CaixaDeTexto 2264">
          <a:extLst>
            <a:ext uri="{FF2B5EF4-FFF2-40B4-BE49-F238E27FC236}">
              <a16:creationId xmlns:a16="http://schemas.microsoft.com/office/drawing/2014/main" id="{02B92C6F-C976-4F82-8E09-C8A0946A2E9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6" name="CaixaDeTexto 2265">
          <a:extLst>
            <a:ext uri="{FF2B5EF4-FFF2-40B4-BE49-F238E27FC236}">
              <a16:creationId xmlns:a16="http://schemas.microsoft.com/office/drawing/2014/main" id="{D5EA78D7-B4CC-47CE-B859-13F358A8FA5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7" name="CaixaDeTexto 2266">
          <a:extLst>
            <a:ext uri="{FF2B5EF4-FFF2-40B4-BE49-F238E27FC236}">
              <a16:creationId xmlns:a16="http://schemas.microsoft.com/office/drawing/2014/main" id="{FE0F81A0-76CC-458E-800D-95685DABC80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8" name="CaixaDeTexto 2267">
          <a:extLst>
            <a:ext uri="{FF2B5EF4-FFF2-40B4-BE49-F238E27FC236}">
              <a16:creationId xmlns:a16="http://schemas.microsoft.com/office/drawing/2014/main" id="{E77B4B54-8FCA-427D-977F-1AF4982B1C7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69" name="CaixaDeTexto 2268">
          <a:extLst>
            <a:ext uri="{FF2B5EF4-FFF2-40B4-BE49-F238E27FC236}">
              <a16:creationId xmlns:a16="http://schemas.microsoft.com/office/drawing/2014/main" id="{E5E8862D-FC50-452E-A647-91254B859F0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0" name="CaixaDeTexto 2269">
          <a:extLst>
            <a:ext uri="{FF2B5EF4-FFF2-40B4-BE49-F238E27FC236}">
              <a16:creationId xmlns:a16="http://schemas.microsoft.com/office/drawing/2014/main" id="{8A8FEAA9-339E-49FA-8388-727416A5A99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1" name="CaixaDeTexto 2270">
          <a:extLst>
            <a:ext uri="{FF2B5EF4-FFF2-40B4-BE49-F238E27FC236}">
              <a16:creationId xmlns:a16="http://schemas.microsoft.com/office/drawing/2014/main" id="{E5C11D6B-4BDC-4024-B0D6-F284FCD81FF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2" name="CaixaDeTexto 2271">
          <a:extLst>
            <a:ext uri="{FF2B5EF4-FFF2-40B4-BE49-F238E27FC236}">
              <a16:creationId xmlns:a16="http://schemas.microsoft.com/office/drawing/2014/main" id="{D1FE176E-9AED-487C-8B5B-F71B5DAA569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3" name="CaixaDeTexto 2272">
          <a:extLst>
            <a:ext uri="{FF2B5EF4-FFF2-40B4-BE49-F238E27FC236}">
              <a16:creationId xmlns:a16="http://schemas.microsoft.com/office/drawing/2014/main" id="{003C62E8-4FBB-4A69-8398-B8A586DBF02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4" name="CaixaDeTexto 2273">
          <a:extLst>
            <a:ext uri="{FF2B5EF4-FFF2-40B4-BE49-F238E27FC236}">
              <a16:creationId xmlns:a16="http://schemas.microsoft.com/office/drawing/2014/main" id="{24EFD8A8-B625-4863-A56C-933890FC833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5" name="CaixaDeTexto 2274">
          <a:extLst>
            <a:ext uri="{FF2B5EF4-FFF2-40B4-BE49-F238E27FC236}">
              <a16:creationId xmlns:a16="http://schemas.microsoft.com/office/drawing/2014/main" id="{0FB26FBA-1F11-4700-8372-BC3602DBA48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6" name="CaixaDeTexto 2275">
          <a:extLst>
            <a:ext uri="{FF2B5EF4-FFF2-40B4-BE49-F238E27FC236}">
              <a16:creationId xmlns:a16="http://schemas.microsoft.com/office/drawing/2014/main" id="{ABE00513-DA3B-4D45-A75C-AD81CB316A2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7" name="CaixaDeTexto 2276">
          <a:extLst>
            <a:ext uri="{FF2B5EF4-FFF2-40B4-BE49-F238E27FC236}">
              <a16:creationId xmlns:a16="http://schemas.microsoft.com/office/drawing/2014/main" id="{0019494E-BDC3-4B57-9F0C-B004AEC1376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8" name="CaixaDeTexto 2277">
          <a:extLst>
            <a:ext uri="{FF2B5EF4-FFF2-40B4-BE49-F238E27FC236}">
              <a16:creationId xmlns:a16="http://schemas.microsoft.com/office/drawing/2014/main" id="{B51A6D2E-B16C-46B3-B70C-7969DC9C23E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79" name="CaixaDeTexto 2278">
          <a:extLst>
            <a:ext uri="{FF2B5EF4-FFF2-40B4-BE49-F238E27FC236}">
              <a16:creationId xmlns:a16="http://schemas.microsoft.com/office/drawing/2014/main" id="{A3D1ADA7-ADC6-4383-A61E-FD8A0AD3E6D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0" name="CaixaDeTexto 2279">
          <a:extLst>
            <a:ext uri="{FF2B5EF4-FFF2-40B4-BE49-F238E27FC236}">
              <a16:creationId xmlns:a16="http://schemas.microsoft.com/office/drawing/2014/main" id="{AB2EACF2-F47D-4387-AABE-3DC39A426F8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1" name="CaixaDeTexto 2280">
          <a:extLst>
            <a:ext uri="{FF2B5EF4-FFF2-40B4-BE49-F238E27FC236}">
              <a16:creationId xmlns:a16="http://schemas.microsoft.com/office/drawing/2014/main" id="{8113A12C-2831-49DE-859A-C71EB11D26D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2" name="CaixaDeTexto 2281">
          <a:extLst>
            <a:ext uri="{FF2B5EF4-FFF2-40B4-BE49-F238E27FC236}">
              <a16:creationId xmlns:a16="http://schemas.microsoft.com/office/drawing/2014/main" id="{1CBB5D3C-6C98-417B-88B8-2325C07B622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3" name="CaixaDeTexto 2282">
          <a:extLst>
            <a:ext uri="{FF2B5EF4-FFF2-40B4-BE49-F238E27FC236}">
              <a16:creationId xmlns:a16="http://schemas.microsoft.com/office/drawing/2014/main" id="{0F6AC8BB-AF60-4A25-87ED-4666D126250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4" name="CaixaDeTexto 2283">
          <a:extLst>
            <a:ext uri="{FF2B5EF4-FFF2-40B4-BE49-F238E27FC236}">
              <a16:creationId xmlns:a16="http://schemas.microsoft.com/office/drawing/2014/main" id="{9554A9A4-2D30-41F3-AAAC-A933C61CB6F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5" name="CaixaDeTexto 2284">
          <a:extLst>
            <a:ext uri="{FF2B5EF4-FFF2-40B4-BE49-F238E27FC236}">
              <a16:creationId xmlns:a16="http://schemas.microsoft.com/office/drawing/2014/main" id="{48548256-C940-4214-9D7A-7081D4A863A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6" name="CaixaDeTexto 2285">
          <a:extLst>
            <a:ext uri="{FF2B5EF4-FFF2-40B4-BE49-F238E27FC236}">
              <a16:creationId xmlns:a16="http://schemas.microsoft.com/office/drawing/2014/main" id="{E6283CB1-6B99-44DF-A739-297C33B0215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7" name="CaixaDeTexto 2286">
          <a:extLst>
            <a:ext uri="{FF2B5EF4-FFF2-40B4-BE49-F238E27FC236}">
              <a16:creationId xmlns:a16="http://schemas.microsoft.com/office/drawing/2014/main" id="{7D32252A-11E9-450A-93D9-ACC7CB50DE6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8" name="CaixaDeTexto 2287">
          <a:extLst>
            <a:ext uri="{FF2B5EF4-FFF2-40B4-BE49-F238E27FC236}">
              <a16:creationId xmlns:a16="http://schemas.microsoft.com/office/drawing/2014/main" id="{19E690E8-394D-4918-A55B-7BD3CAACEC3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89" name="CaixaDeTexto 2288">
          <a:extLst>
            <a:ext uri="{FF2B5EF4-FFF2-40B4-BE49-F238E27FC236}">
              <a16:creationId xmlns:a16="http://schemas.microsoft.com/office/drawing/2014/main" id="{39ACCDCB-C751-458D-9F64-5947942BA31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0" name="CaixaDeTexto 2289">
          <a:extLst>
            <a:ext uri="{FF2B5EF4-FFF2-40B4-BE49-F238E27FC236}">
              <a16:creationId xmlns:a16="http://schemas.microsoft.com/office/drawing/2014/main" id="{C8C5660F-7D10-4804-8752-C9514DB0522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1" name="CaixaDeTexto 2290">
          <a:extLst>
            <a:ext uri="{FF2B5EF4-FFF2-40B4-BE49-F238E27FC236}">
              <a16:creationId xmlns:a16="http://schemas.microsoft.com/office/drawing/2014/main" id="{590ACE08-E19D-4D4B-B79C-5D92AED4111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2" name="CaixaDeTexto 2291">
          <a:extLst>
            <a:ext uri="{FF2B5EF4-FFF2-40B4-BE49-F238E27FC236}">
              <a16:creationId xmlns:a16="http://schemas.microsoft.com/office/drawing/2014/main" id="{1006C1CA-B002-450F-853A-BAC9FB93AA8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3" name="CaixaDeTexto 2292">
          <a:extLst>
            <a:ext uri="{FF2B5EF4-FFF2-40B4-BE49-F238E27FC236}">
              <a16:creationId xmlns:a16="http://schemas.microsoft.com/office/drawing/2014/main" id="{BEF3CB2F-2811-43A5-B235-07D659F4B0B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4" name="CaixaDeTexto 2293">
          <a:extLst>
            <a:ext uri="{FF2B5EF4-FFF2-40B4-BE49-F238E27FC236}">
              <a16:creationId xmlns:a16="http://schemas.microsoft.com/office/drawing/2014/main" id="{6256D8EC-6B47-47EC-B85D-ECCEF659B0E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5" name="CaixaDeTexto 2294">
          <a:extLst>
            <a:ext uri="{FF2B5EF4-FFF2-40B4-BE49-F238E27FC236}">
              <a16:creationId xmlns:a16="http://schemas.microsoft.com/office/drawing/2014/main" id="{F2873977-8B0B-449F-AA76-FF430F05611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6" name="CaixaDeTexto 2295">
          <a:extLst>
            <a:ext uri="{FF2B5EF4-FFF2-40B4-BE49-F238E27FC236}">
              <a16:creationId xmlns:a16="http://schemas.microsoft.com/office/drawing/2014/main" id="{E5FC5644-5AAE-4F68-9874-D56F771D9CA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7" name="CaixaDeTexto 2296">
          <a:extLst>
            <a:ext uri="{FF2B5EF4-FFF2-40B4-BE49-F238E27FC236}">
              <a16:creationId xmlns:a16="http://schemas.microsoft.com/office/drawing/2014/main" id="{A15C1A71-26F1-4A4C-AF37-E9016D70DF6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298" name="CaixaDeTexto 2297">
          <a:extLst>
            <a:ext uri="{FF2B5EF4-FFF2-40B4-BE49-F238E27FC236}">
              <a16:creationId xmlns:a16="http://schemas.microsoft.com/office/drawing/2014/main" id="{ED536D9D-5711-49DB-BF39-1C8A18DB201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299" name="CaixaDeTexto 2298">
          <a:extLst>
            <a:ext uri="{FF2B5EF4-FFF2-40B4-BE49-F238E27FC236}">
              <a16:creationId xmlns:a16="http://schemas.microsoft.com/office/drawing/2014/main" id="{ABAA2A59-691F-4F32-ADAA-2B3BD30E3A02}"/>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0" name="CaixaDeTexto 2299">
          <a:extLst>
            <a:ext uri="{FF2B5EF4-FFF2-40B4-BE49-F238E27FC236}">
              <a16:creationId xmlns:a16="http://schemas.microsoft.com/office/drawing/2014/main" id="{F20DC92C-5DFF-4FAB-AC96-EDAEF9A4980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01" name="CaixaDeTexto 2300">
          <a:extLst>
            <a:ext uri="{FF2B5EF4-FFF2-40B4-BE49-F238E27FC236}">
              <a16:creationId xmlns:a16="http://schemas.microsoft.com/office/drawing/2014/main" id="{42647442-40A5-49E1-92F0-71A661724B54}"/>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2" name="CaixaDeTexto 2301">
          <a:extLst>
            <a:ext uri="{FF2B5EF4-FFF2-40B4-BE49-F238E27FC236}">
              <a16:creationId xmlns:a16="http://schemas.microsoft.com/office/drawing/2014/main" id="{795488CF-764D-4A5B-9BF9-271CB9D9FAE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3" name="CaixaDeTexto 2302">
          <a:extLst>
            <a:ext uri="{FF2B5EF4-FFF2-40B4-BE49-F238E27FC236}">
              <a16:creationId xmlns:a16="http://schemas.microsoft.com/office/drawing/2014/main" id="{DB016907-05C1-4410-826E-EFF3CBE27A8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4" name="CaixaDeTexto 2303">
          <a:extLst>
            <a:ext uri="{FF2B5EF4-FFF2-40B4-BE49-F238E27FC236}">
              <a16:creationId xmlns:a16="http://schemas.microsoft.com/office/drawing/2014/main" id="{A209ABE7-94E5-48F7-AD5C-9C38EF87544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5" name="CaixaDeTexto 2304">
          <a:extLst>
            <a:ext uri="{FF2B5EF4-FFF2-40B4-BE49-F238E27FC236}">
              <a16:creationId xmlns:a16="http://schemas.microsoft.com/office/drawing/2014/main" id="{BB8A39DF-25A4-4D47-96D2-31DF4081A62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6" name="CaixaDeTexto 2305">
          <a:extLst>
            <a:ext uri="{FF2B5EF4-FFF2-40B4-BE49-F238E27FC236}">
              <a16:creationId xmlns:a16="http://schemas.microsoft.com/office/drawing/2014/main" id="{A40A3C17-F13E-488D-A9FF-9F7E59185F6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7" name="CaixaDeTexto 2306">
          <a:extLst>
            <a:ext uri="{FF2B5EF4-FFF2-40B4-BE49-F238E27FC236}">
              <a16:creationId xmlns:a16="http://schemas.microsoft.com/office/drawing/2014/main" id="{954AAC9E-6EAC-42F4-BCAA-B923BBD1633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08" name="CaixaDeTexto 2307">
          <a:extLst>
            <a:ext uri="{FF2B5EF4-FFF2-40B4-BE49-F238E27FC236}">
              <a16:creationId xmlns:a16="http://schemas.microsoft.com/office/drawing/2014/main" id="{528011DF-64AA-447F-82D6-D39172B2CB3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309" name="CaixaDeTexto 2308">
          <a:extLst>
            <a:ext uri="{FF2B5EF4-FFF2-40B4-BE49-F238E27FC236}">
              <a16:creationId xmlns:a16="http://schemas.microsoft.com/office/drawing/2014/main" id="{8B1242C7-74A4-410D-AE07-610217161DB9}"/>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0" name="CaixaDeTexto 2309">
          <a:extLst>
            <a:ext uri="{FF2B5EF4-FFF2-40B4-BE49-F238E27FC236}">
              <a16:creationId xmlns:a16="http://schemas.microsoft.com/office/drawing/2014/main" id="{93B18DAF-C784-41B9-9527-8D0CAFC9659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1" name="CaixaDeTexto 2310">
          <a:extLst>
            <a:ext uri="{FF2B5EF4-FFF2-40B4-BE49-F238E27FC236}">
              <a16:creationId xmlns:a16="http://schemas.microsoft.com/office/drawing/2014/main" id="{9B7C654B-2BF0-4D1E-A197-2283D87E201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2" name="CaixaDeTexto 2311">
          <a:extLst>
            <a:ext uri="{FF2B5EF4-FFF2-40B4-BE49-F238E27FC236}">
              <a16:creationId xmlns:a16="http://schemas.microsoft.com/office/drawing/2014/main" id="{28B0048E-1D56-43A7-A453-BB366F03EE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3" name="CaixaDeTexto 2312">
          <a:extLst>
            <a:ext uri="{FF2B5EF4-FFF2-40B4-BE49-F238E27FC236}">
              <a16:creationId xmlns:a16="http://schemas.microsoft.com/office/drawing/2014/main" id="{F041F162-11B2-4C76-927E-0BB236CBE11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4" name="CaixaDeTexto 2313">
          <a:extLst>
            <a:ext uri="{FF2B5EF4-FFF2-40B4-BE49-F238E27FC236}">
              <a16:creationId xmlns:a16="http://schemas.microsoft.com/office/drawing/2014/main" id="{F1AE4229-EA7E-45AE-B40A-FB6D94E1555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5" name="CaixaDeTexto 2314">
          <a:extLst>
            <a:ext uri="{FF2B5EF4-FFF2-40B4-BE49-F238E27FC236}">
              <a16:creationId xmlns:a16="http://schemas.microsoft.com/office/drawing/2014/main" id="{8C703158-4779-4BBE-9243-C79AA2DABB5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6" name="CaixaDeTexto 2315">
          <a:extLst>
            <a:ext uri="{FF2B5EF4-FFF2-40B4-BE49-F238E27FC236}">
              <a16:creationId xmlns:a16="http://schemas.microsoft.com/office/drawing/2014/main" id="{3B39055B-16DD-45AE-9180-71A5FFA661A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17" name="CaixaDeTexto 2316">
          <a:extLst>
            <a:ext uri="{FF2B5EF4-FFF2-40B4-BE49-F238E27FC236}">
              <a16:creationId xmlns:a16="http://schemas.microsoft.com/office/drawing/2014/main" id="{3B90D242-3D0C-442D-A876-49946B3F14F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318" name="CaixaDeTexto 2317">
          <a:extLst>
            <a:ext uri="{FF2B5EF4-FFF2-40B4-BE49-F238E27FC236}">
              <a16:creationId xmlns:a16="http://schemas.microsoft.com/office/drawing/2014/main" id="{92A3BDC8-1685-45E5-B233-25803EB2BAE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19" name="CaixaDeTexto 2318">
          <a:extLst>
            <a:ext uri="{FF2B5EF4-FFF2-40B4-BE49-F238E27FC236}">
              <a16:creationId xmlns:a16="http://schemas.microsoft.com/office/drawing/2014/main" id="{C87D55A6-1365-477F-90AF-13EC0C60210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0" name="CaixaDeTexto 2319">
          <a:extLst>
            <a:ext uri="{FF2B5EF4-FFF2-40B4-BE49-F238E27FC236}">
              <a16:creationId xmlns:a16="http://schemas.microsoft.com/office/drawing/2014/main" id="{D143EBA2-88A6-476E-8B52-F96F5AF90E8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21" name="CaixaDeTexto 2320">
          <a:extLst>
            <a:ext uri="{FF2B5EF4-FFF2-40B4-BE49-F238E27FC236}">
              <a16:creationId xmlns:a16="http://schemas.microsoft.com/office/drawing/2014/main" id="{E493A4EF-4BF2-4D7C-AF03-DE42A52D081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2" name="CaixaDeTexto 2321">
          <a:extLst>
            <a:ext uri="{FF2B5EF4-FFF2-40B4-BE49-F238E27FC236}">
              <a16:creationId xmlns:a16="http://schemas.microsoft.com/office/drawing/2014/main" id="{195CD5BD-3529-4306-A5E2-47FFE1AB8CEB}"/>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3" name="CaixaDeTexto 2322">
          <a:extLst>
            <a:ext uri="{FF2B5EF4-FFF2-40B4-BE49-F238E27FC236}">
              <a16:creationId xmlns:a16="http://schemas.microsoft.com/office/drawing/2014/main" id="{F0663DAE-C146-4224-869D-868CCD23D54B}"/>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4" name="CaixaDeTexto 2323">
          <a:extLst>
            <a:ext uri="{FF2B5EF4-FFF2-40B4-BE49-F238E27FC236}">
              <a16:creationId xmlns:a16="http://schemas.microsoft.com/office/drawing/2014/main" id="{C2924D05-310F-4FE8-8019-7FF571A0A224}"/>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5" name="CaixaDeTexto 2324">
          <a:extLst>
            <a:ext uri="{FF2B5EF4-FFF2-40B4-BE49-F238E27FC236}">
              <a16:creationId xmlns:a16="http://schemas.microsoft.com/office/drawing/2014/main" id="{86D823AB-F4D4-4B12-BF90-C996136FC77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6" name="CaixaDeTexto 2325">
          <a:extLst>
            <a:ext uri="{FF2B5EF4-FFF2-40B4-BE49-F238E27FC236}">
              <a16:creationId xmlns:a16="http://schemas.microsoft.com/office/drawing/2014/main" id="{53FC864A-0E7C-4BC9-AAE0-F0B615AC9786}"/>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7" name="CaixaDeTexto 2326">
          <a:extLst>
            <a:ext uri="{FF2B5EF4-FFF2-40B4-BE49-F238E27FC236}">
              <a16:creationId xmlns:a16="http://schemas.microsoft.com/office/drawing/2014/main" id="{DE43FA7B-8C68-41E5-AC07-BCB10EEA98B2}"/>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28" name="CaixaDeTexto 2327">
          <a:extLst>
            <a:ext uri="{FF2B5EF4-FFF2-40B4-BE49-F238E27FC236}">
              <a16:creationId xmlns:a16="http://schemas.microsoft.com/office/drawing/2014/main" id="{46697D5B-F68D-4E07-A791-21B633D6EC7E}"/>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29" name="CaixaDeTexto 2328">
          <a:extLst>
            <a:ext uri="{FF2B5EF4-FFF2-40B4-BE49-F238E27FC236}">
              <a16:creationId xmlns:a16="http://schemas.microsoft.com/office/drawing/2014/main" id="{26EE15FB-6D86-4421-ACAC-318A7A8BF0F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0" name="CaixaDeTexto 2329">
          <a:extLst>
            <a:ext uri="{FF2B5EF4-FFF2-40B4-BE49-F238E27FC236}">
              <a16:creationId xmlns:a16="http://schemas.microsoft.com/office/drawing/2014/main" id="{822555EC-91B5-4E2B-8F16-8928A9C08AD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1" name="CaixaDeTexto 2330">
          <a:extLst>
            <a:ext uri="{FF2B5EF4-FFF2-40B4-BE49-F238E27FC236}">
              <a16:creationId xmlns:a16="http://schemas.microsoft.com/office/drawing/2014/main" id="{6093C6A0-8061-46C3-BF2A-D60F032AF04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2" name="CaixaDeTexto 2331">
          <a:extLst>
            <a:ext uri="{FF2B5EF4-FFF2-40B4-BE49-F238E27FC236}">
              <a16:creationId xmlns:a16="http://schemas.microsoft.com/office/drawing/2014/main" id="{062EBC89-785C-47C6-9A2B-0CE18229475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3" name="CaixaDeTexto 2332">
          <a:extLst>
            <a:ext uri="{FF2B5EF4-FFF2-40B4-BE49-F238E27FC236}">
              <a16:creationId xmlns:a16="http://schemas.microsoft.com/office/drawing/2014/main" id="{CD250B20-9B7E-4A59-B698-96CFE8E978E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4" name="CaixaDeTexto 2333">
          <a:extLst>
            <a:ext uri="{FF2B5EF4-FFF2-40B4-BE49-F238E27FC236}">
              <a16:creationId xmlns:a16="http://schemas.microsoft.com/office/drawing/2014/main" id="{ED2A8DC2-B4D9-4111-B2BC-B2FDF260C1F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5" name="CaixaDeTexto 2334">
          <a:extLst>
            <a:ext uri="{FF2B5EF4-FFF2-40B4-BE49-F238E27FC236}">
              <a16:creationId xmlns:a16="http://schemas.microsoft.com/office/drawing/2014/main" id="{426886DA-D122-4D2B-BD54-CAE767BC352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6" name="CaixaDeTexto 2335">
          <a:extLst>
            <a:ext uri="{FF2B5EF4-FFF2-40B4-BE49-F238E27FC236}">
              <a16:creationId xmlns:a16="http://schemas.microsoft.com/office/drawing/2014/main" id="{AD40B93C-3A3E-438E-9161-4EC240692BC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7" name="CaixaDeTexto 2336">
          <a:extLst>
            <a:ext uri="{FF2B5EF4-FFF2-40B4-BE49-F238E27FC236}">
              <a16:creationId xmlns:a16="http://schemas.microsoft.com/office/drawing/2014/main" id="{22E72AF2-7885-442F-BF85-391468BB001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8" name="CaixaDeTexto 2337">
          <a:extLst>
            <a:ext uri="{FF2B5EF4-FFF2-40B4-BE49-F238E27FC236}">
              <a16:creationId xmlns:a16="http://schemas.microsoft.com/office/drawing/2014/main" id="{E1801FE1-39B1-4D37-8A7D-3CDC78593F7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39" name="CaixaDeTexto 2338">
          <a:extLst>
            <a:ext uri="{FF2B5EF4-FFF2-40B4-BE49-F238E27FC236}">
              <a16:creationId xmlns:a16="http://schemas.microsoft.com/office/drawing/2014/main" id="{DEE08CA9-F518-4172-B5A7-21C32E0D2AC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0" name="CaixaDeTexto 2339">
          <a:extLst>
            <a:ext uri="{FF2B5EF4-FFF2-40B4-BE49-F238E27FC236}">
              <a16:creationId xmlns:a16="http://schemas.microsoft.com/office/drawing/2014/main" id="{EB5E409F-C1E1-4A0F-9294-82F3691AD99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1" name="CaixaDeTexto 2340">
          <a:extLst>
            <a:ext uri="{FF2B5EF4-FFF2-40B4-BE49-F238E27FC236}">
              <a16:creationId xmlns:a16="http://schemas.microsoft.com/office/drawing/2014/main" id="{A393D1AE-66BF-473E-93CB-F6C0F062058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2" name="CaixaDeTexto 2341">
          <a:extLst>
            <a:ext uri="{FF2B5EF4-FFF2-40B4-BE49-F238E27FC236}">
              <a16:creationId xmlns:a16="http://schemas.microsoft.com/office/drawing/2014/main" id="{EFA64F5F-C6B8-473A-AF6E-54D64350DA7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3" name="CaixaDeTexto 2342">
          <a:extLst>
            <a:ext uri="{FF2B5EF4-FFF2-40B4-BE49-F238E27FC236}">
              <a16:creationId xmlns:a16="http://schemas.microsoft.com/office/drawing/2014/main" id="{420F0DE9-5528-479F-B46D-3DEFA052AFA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4" name="CaixaDeTexto 2343">
          <a:extLst>
            <a:ext uri="{FF2B5EF4-FFF2-40B4-BE49-F238E27FC236}">
              <a16:creationId xmlns:a16="http://schemas.microsoft.com/office/drawing/2014/main" id="{9A643E67-7B48-4C6E-899F-60D10BD880C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5" name="CaixaDeTexto 2344">
          <a:extLst>
            <a:ext uri="{FF2B5EF4-FFF2-40B4-BE49-F238E27FC236}">
              <a16:creationId xmlns:a16="http://schemas.microsoft.com/office/drawing/2014/main" id="{1CDAAC9F-158D-4A6C-9988-DA1C300A0BE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6" name="CaixaDeTexto 2345">
          <a:extLst>
            <a:ext uri="{FF2B5EF4-FFF2-40B4-BE49-F238E27FC236}">
              <a16:creationId xmlns:a16="http://schemas.microsoft.com/office/drawing/2014/main" id="{31055665-78B7-4614-B314-A1C8B9BFC3C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7" name="CaixaDeTexto 2346">
          <a:extLst>
            <a:ext uri="{FF2B5EF4-FFF2-40B4-BE49-F238E27FC236}">
              <a16:creationId xmlns:a16="http://schemas.microsoft.com/office/drawing/2014/main" id="{648BDA09-6DE9-4168-9BD8-0169DA9A527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8" name="CaixaDeTexto 2347">
          <a:extLst>
            <a:ext uri="{FF2B5EF4-FFF2-40B4-BE49-F238E27FC236}">
              <a16:creationId xmlns:a16="http://schemas.microsoft.com/office/drawing/2014/main" id="{5DB768B2-6B1B-435C-BE27-F8F00548ACC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49" name="CaixaDeTexto 2348">
          <a:extLst>
            <a:ext uri="{FF2B5EF4-FFF2-40B4-BE49-F238E27FC236}">
              <a16:creationId xmlns:a16="http://schemas.microsoft.com/office/drawing/2014/main" id="{93163184-23E7-4757-96D9-E8C45A5C8C5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0" name="CaixaDeTexto 2349">
          <a:extLst>
            <a:ext uri="{FF2B5EF4-FFF2-40B4-BE49-F238E27FC236}">
              <a16:creationId xmlns:a16="http://schemas.microsoft.com/office/drawing/2014/main" id="{A4F2E312-3CCF-4128-AAE8-C98FBDF7A46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1" name="CaixaDeTexto 2350">
          <a:extLst>
            <a:ext uri="{FF2B5EF4-FFF2-40B4-BE49-F238E27FC236}">
              <a16:creationId xmlns:a16="http://schemas.microsoft.com/office/drawing/2014/main" id="{2D776FF0-B4B3-4F2A-BF16-2667642FA35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2" name="CaixaDeTexto 2351">
          <a:extLst>
            <a:ext uri="{FF2B5EF4-FFF2-40B4-BE49-F238E27FC236}">
              <a16:creationId xmlns:a16="http://schemas.microsoft.com/office/drawing/2014/main" id="{5C17C7D9-428D-4C7B-B902-E8FEE7C4D22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3" name="CaixaDeTexto 2352">
          <a:extLst>
            <a:ext uri="{FF2B5EF4-FFF2-40B4-BE49-F238E27FC236}">
              <a16:creationId xmlns:a16="http://schemas.microsoft.com/office/drawing/2014/main" id="{974CC39E-FFC1-4D02-822D-C8F8707DB47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4" name="CaixaDeTexto 2353">
          <a:extLst>
            <a:ext uri="{FF2B5EF4-FFF2-40B4-BE49-F238E27FC236}">
              <a16:creationId xmlns:a16="http://schemas.microsoft.com/office/drawing/2014/main" id="{103C88B6-FC90-4A95-921B-57F2FAD9F70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5" name="CaixaDeTexto 2354">
          <a:extLst>
            <a:ext uri="{FF2B5EF4-FFF2-40B4-BE49-F238E27FC236}">
              <a16:creationId xmlns:a16="http://schemas.microsoft.com/office/drawing/2014/main" id="{F386FB64-F7F8-4E60-9E90-4A22634F2EA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6" name="CaixaDeTexto 2355">
          <a:extLst>
            <a:ext uri="{FF2B5EF4-FFF2-40B4-BE49-F238E27FC236}">
              <a16:creationId xmlns:a16="http://schemas.microsoft.com/office/drawing/2014/main" id="{8595DE9A-08F6-40E5-A2CC-C144B747129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7" name="CaixaDeTexto 2356">
          <a:extLst>
            <a:ext uri="{FF2B5EF4-FFF2-40B4-BE49-F238E27FC236}">
              <a16:creationId xmlns:a16="http://schemas.microsoft.com/office/drawing/2014/main" id="{D2951400-E371-4DE6-B76E-3AEE767AB0B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8" name="CaixaDeTexto 2357">
          <a:extLst>
            <a:ext uri="{FF2B5EF4-FFF2-40B4-BE49-F238E27FC236}">
              <a16:creationId xmlns:a16="http://schemas.microsoft.com/office/drawing/2014/main" id="{D266C61B-7FC3-4653-BD69-97DF1D032B1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59" name="CaixaDeTexto 2358">
          <a:extLst>
            <a:ext uri="{FF2B5EF4-FFF2-40B4-BE49-F238E27FC236}">
              <a16:creationId xmlns:a16="http://schemas.microsoft.com/office/drawing/2014/main" id="{F7CF056E-EFD2-4CCE-ADF3-098ECBAB56C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0" name="CaixaDeTexto 2359">
          <a:extLst>
            <a:ext uri="{FF2B5EF4-FFF2-40B4-BE49-F238E27FC236}">
              <a16:creationId xmlns:a16="http://schemas.microsoft.com/office/drawing/2014/main" id="{93E6CC00-630F-407B-9F15-8C6D3EF9666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1" name="CaixaDeTexto 2360">
          <a:extLst>
            <a:ext uri="{FF2B5EF4-FFF2-40B4-BE49-F238E27FC236}">
              <a16:creationId xmlns:a16="http://schemas.microsoft.com/office/drawing/2014/main" id="{C24C8760-6B7F-430C-9B05-F283B41C418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2" name="CaixaDeTexto 2361">
          <a:extLst>
            <a:ext uri="{FF2B5EF4-FFF2-40B4-BE49-F238E27FC236}">
              <a16:creationId xmlns:a16="http://schemas.microsoft.com/office/drawing/2014/main" id="{B5C895DE-2754-49E3-88D4-029E69D5FF8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3" name="CaixaDeTexto 2362">
          <a:extLst>
            <a:ext uri="{FF2B5EF4-FFF2-40B4-BE49-F238E27FC236}">
              <a16:creationId xmlns:a16="http://schemas.microsoft.com/office/drawing/2014/main" id="{ED60BD00-E250-4355-9229-1C9984C2E6D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4" name="CaixaDeTexto 2363">
          <a:extLst>
            <a:ext uri="{FF2B5EF4-FFF2-40B4-BE49-F238E27FC236}">
              <a16:creationId xmlns:a16="http://schemas.microsoft.com/office/drawing/2014/main" id="{8AD0D52D-F1BD-4E00-A06B-554662E928F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5" name="CaixaDeTexto 2364">
          <a:extLst>
            <a:ext uri="{FF2B5EF4-FFF2-40B4-BE49-F238E27FC236}">
              <a16:creationId xmlns:a16="http://schemas.microsoft.com/office/drawing/2014/main" id="{3607626A-ADAB-483D-A4EE-9B2B58B09DE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6" name="CaixaDeTexto 2365">
          <a:extLst>
            <a:ext uri="{FF2B5EF4-FFF2-40B4-BE49-F238E27FC236}">
              <a16:creationId xmlns:a16="http://schemas.microsoft.com/office/drawing/2014/main" id="{3FEC9814-EBC2-4F78-B923-2A2D32BEEBE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7" name="CaixaDeTexto 2366">
          <a:extLst>
            <a:ext uri="{FF2B5EF4-FFF2-40B4-BE49-F238E27FC236}">
              <a16:creationId xmlns:a16="http://schemas.microsoft.com/office/drawing/2014/main" id="{154DD0C1-B7A1-487E-98FF-651C7A388B7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8" name="CaixaDeTexto 2367">
          <a:extLst>
            <a:ext uri="{FF2B5EF4-FFF2-40B4-BE49-F238E27FC236}">
              <a16:creationId xmlns:a16="http://schemas.microsoft.com/office/drawing/2014/main" id="{3A0324CA-4DE4-42C5-91DB-926A5B05258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69" name="CaixaDeTexto 2368">
          <a:extLst>
            <a:ext uri="{FF2B5EF4-FFF2-40B4-BE49-F238E27FC236}">
              <a16:creationId xmlns:a16="http://schemas.microsoft.com/office/drawing/2014/main" id="{871A8F55-8F15-4617-B6F5-EE731BB14DC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70" name="CaixaDeTexto 2369">
          <a:extLst>
            <a:ext uri="{FF2B5EF4-FFF2-40B4-BE49-F238E27FC236}">
              <a16:creationId xmlns:a16="http://schemas.microsoft.com/office/drawing/2014/main" id="{E1883536-1270-49E1-BBD7-5926AB343EB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71" name="CaixaDeTexto 2370">
          <a:extLst>
            <a:ext uri="{FF2B5EF4-FFF2-40B4-BE49-F238E27FC236}">
              <a16:creationId xmlns:a16="http://schemas.microsoft.com/office/drawing/2014/main" id="{8163486E-5AB4-4D9D-B3C5-525BD8E8B57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72" name="CaixaDeTexto 2371">
          <a:extLst>
            <a:ext uri="{FF2B5EF4-FFF2-40B4-BE49-F238E27FC236}">
              <a16:creationId xmlns:a16="http://schemas.microsoft.com/office/drawing/2014/main" id="{8B65769F-BD2F-405F-88BD-675B5739A70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73" name="CaixaDeTexto 2372">
          <a:extLst>
            <a:ext uri="{FF2B5EF4-FFF2-40B4-BE49-F238E27FC236}">
              <a16:creationId xmlns:a16="http://schemas.microsoft.com/office/drawing/2014/main" id="{B3AD82B1-4CA0-466D-AD57-76A421BF1EA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74" name="CaixaDeTexto 2373">
          <a:extLst>
            <a:ext uri="{FF2B5EF4-FFF2-40B4-BE49-F238E27FC236}">
              <a16:creationId xmlns:a16="http://schemas.microsoft.com/office/drawing/2014/main" id="{A37098E0-99C9-497E-9BD2-E24653685227}"/>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75" name="CaixaDeTexto 2374">
          <a:extLst>
            <a:ext uri="{FF2B5EF4-FFF2-40B4-BE49-F238E27FC236}">
              <a16:creationId xmlns:a16="http://schemas.microsoft.com/office/drawing/2014/main" id="{D30638DF-F102-4D85-A9D3-0316D37B50D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76" name="CaixaDeTexto 2375">
          <a:extLst>
            <a:ext uri="{FF2B5EF4-FFF2-40B4-BE49-F238E27FC236}">
              <a16:creationId xmlns:a16="http://schemas.microsoft.com/office/drawing/2014/main" id="{B459E7ED-88CB-4355-B1E5-FFDC22FC4B88}"/>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77" name="CaixaDeTexto 2376">
          <a:extLst>
            <a:ext uri="{FF2B5EF4-FFF2-40B4-BE49-F238E27FC236}">
              <a16:creationId xmlns:a16="http://schemas.microsoft.com/office/drawing/2014/main" id="{80A4655B-F60E-4190-999B-66BAFC96A00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78" name="CaixaDeTexto 2377">
          <a:extLst>
            <a:ext uri="{FF2B5EF4-FFF2-40B4-BE49-F238E27FC236}">
              <a16:creationId xmlns:a16="http://schemas.microsoft.com/office/drawing/2014/main" id="{597463DF-FD73-4A2F-8D9B-03EFC2312CF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79" name="CaixaDeTexto 2378">
          <a:extLst>
            <a:ext uri="{FF2B5EF4-FFF2-40B4-BE49-F238E27FC236}">
              <a16:creationId xmlns:a16="http://schemas.microsoft.com/office/drawing/2014/main" id="{773CB332-3F5D-46AB-A6D2-A66197CBD04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0" name="CaixaDeTexto 2379">
          <a:extLst>
            <a:ext uri="{FF2B5EF4-FFF2-40B4-BE49-F238E27FC236}">
              <a16:creationId xmlns:a16="http://schemas.microsoft.com/office/drawing/2014/main" id="{BC1D10FE-9C48-471C-BCFE-FED680FE67A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1" name="CaixaDeTexto 2380">
          <a:extLst>
            <a:ext uri="{FF2B5EF4-FFF2-40B4-BE49-F238E27FC236}">
              <a16:creationId xmlns:a16="http://schemas.microsoft.com/office/drawing/2014/main" id="{53460468-9309-488C-8600-C9048003889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2" name="CaixaDeTexto 2381">
          <a:extLst>
            <a:ext uri="{FF2B5EF4-FFF2-40B4-BE49-F238E27FC236}">
              <a16:creationId xmlns:a16="http://schemas.microsoft.com/office/drawing/2014/main" id="{E74CB67D-6A97-4C87-8828-F7B421DF8B4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3" name="CaixaDeTexto 2382">
          <a:extLst>
            <a:ext uri="{FF2B5EF4-FFF2-40B4-BE49-F238E27FC236}">
              <a16:creationId xmlns:a16="http://schemas.microsoft.com/office/drawing/2014/main" id="{406D7AA7-D64C-4E8D-AAF6-26EC47C71CD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384" name="CaixaDeTexto 2383">
          <a:extLst>
            <a:ext uri="{FF2B5EF4-FFF2-40B4-BE49-F238E27FC236}">
              <a16:creationId xmlns:a16="http://schemas.microsoft.com/office/drawing/2014/main" id="{1CEFE81A-010B-40EB-BE54-6C8AE3B356E7}"/>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5" name="CaixaDeTexto 2384">
          <a:extLst>
            <a:ext uri="{FF2B5EF4-FFF2-40B4-BE49-F238E27FC236}">
              <a16:creationId xmlns:a16="http://schemas.microsoft.com/office/drawing/2014/main" id="{BB69B9EC-B1A6-4660-A03D-9657109B059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6" name="CaixaDeTexto 2385">
          <a:extLst>
            <a:ext uri="{FF2B5EF4-FFF2-40B4-BE49-F238E27FC236}">
              <a16:creationId xmlns:a16="http://schemas.microsoft.com/office/drawing/2014/main" id="{F0981C86-C862-4A1C-8475-88948A8754F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7" name="CaixaDeTexto 2386">
          <a:extLst>
            <a:ext uri="{FF2B5EF4-FFF2-40B4-BE49-F238E27FC236}">
              <a16:creationId xmlns:a16="http://schemas.microsoft.com/office/drawing/2014/main" id="{E6459A42-7E9D-4BB3-9833-FD8D00A39B4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8" name="CaixaDeTexto 2387">
          <a:extLst>
            <a:ext uri="{FF2B5EF4-FFF2-40B4-BE49-F238E27FC236}">
              <a16:creationId xmlns:a16="http://schemas.microsoft.com/office/drawing/2014/main" id="{E4CABC30-AB39-4CB5-8E75-3497B6F4157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89" name="CaixaDeTexto 2388">
          <a:extLst>
            <a:ext uri="{FF2B5EF4-FFF2-40B4-BE49-F238E27FC236}">
              <a16:creationId xmlns:a16="http://schemas.microsoft.com/office/drawing/2014/main" id="{6450C23B-AA99-43BD-8C7C-17A9AE0C648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90" name="CaixaDeTexto 2389">
          <a:extLst>
            <a:ext uri="{FF2B5EF4-FFF2-40B4-BE49-F238E27FC236}">
              <a16:creationId xmlns:a16="http://schemas.microsoft.com/office/drawing/2014/main" id="{5AEDD0D4-EB10-42A8-9FD6-F9F0878D31A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91" name="CaixaDeTexto 2390">
          <a:extLst>
            <a:ext uri="{FF2B5EF4-FFF2-40B4-BE49-F238E27FC236}">
              <a16:creationId xmlns:a16="http://schemas.microsoft.com/office/drawing/2014/main" id="{6B8DFEDA-2F0F-485C-8E48-2F230C71B7E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392" name="CaixaDeTexto 2391">
          <a:extLst>
            <a:ext uri="{FF2B5EF4-FFF2-40B4-BE49-F238E27FC236}">
              <a16:creationId xmlns:a16="http://schemas.microsoft.com/office/drawing/2014/main" id="{FFE8B6F5-C5F2-4827-A3E8-3EAC8311206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393" name="CaixaDeTexto 2392">
          <a:extLst>
            <a:ext uri="{FF2B5EF4-FFF2-40B4-BE49-F238E27FC236}">
              <a16:creationId xmlns:a16="http://schemas.microsoft.com/office/drawing/2014/main" id="{68F1F15D-E055-4A1B-99FF-6214DEDD8952}"/>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94" name="CaixaDeTexto 2393">
          <a:extLst>
            <a:ext uri="{FF2B5EF4-FFF2-40B4-BE49-F238E27FC236}">
              <a16:creationId xmlns:a16="http://schemas.microsoft.com/office/drawing/2014/main" id="{1B1BDEB1-ECC6-4405-A7BD-DEEBD56C134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95" name="CaixaDeTexto 2394">
          <a:extLst>
            <a:ext uri="{FF2B5EF4-FFF2-40B4-BE49-F238E27FC236}">
              <a16:creationId xmlns:a16="http://schemas.microsoft.com/office/drawing/2014/main" id="{BA38F120-01E1-4F54-B809-1BD01A628C3E}"/>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396" name="CaixaDeTexto 2395">
          <a:extLst>
            <a:ext uri="{FF2B5EF4-FFF2-40B4-BE49-F238E27FC236}">
              <a16:creationId xmlns:a16="http://schemas.microsoft.com/office/drawing/2014/main" id="{367866CB-B885-47C5-ADE5-DA92440FBC1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97" name="CaixaDeTexto 2396">
          <a:extLst>
            <a:ext uri="{FF2B5EF4-FFF2-40B4-BE49-F238E27FC236}">
              <a16:creationId xmlns:a16="http://schemas.microsoft.com/office/drawing/2014/main" id="{99CC27F2-F847-4661-8E32-B2715C47F3D4}"/>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98" name="CaixaDeTexto 2397">
          <a:extLst>
            <a:ext uri="{FF2B5EF4-FFF2-40B4-BE49-F238E27FC236}">
              <a16:creationId xmlns:a16="http://schemas.microsoft.com/office/drawing/2014/main" id="{AC4A0FA5-0714-4FB2-95D8-B626EC0C20F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399" name="CaixaDeTexto 2398">
          <a:extLst>
            <a:ext uri="{FF2B5EF4-FFF2-40B4-BE49-F238E27FC236}">
              <a16:creationId xmlns:a16="http://schemas.microsoft.com/office/drawing/2014/main" id="{A500C8B1-C235-4C34-B58B-9CCFB6A293A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00" name="CaixaDeTexto 2399">
          <a:extLst>
            <a:ext uri="{FF2B5EF4-FFF2-40B4-BE49-F238E27FC236}">
              <a16:creationId xmlns:a16="http://schemas.microsoft.com/office/drawing/2014/main" id="{B9D1FB0E-C1B7-4859-BAFC-4431FF0FFF8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01" name="CaixaDeTexto 2400">
          <a:extLst>
            <a:ext uri="{FF2B5EF4-FFF2-40B4-BE49-F238E27FC236}">
              <a16:creationId xmlns:a16="http://schemas.microsoft.com/office/drawing/2014/main" id="{8B0EFBA9-A16D-43D3-9724-DBDB490A98A3}"/>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02" name="CaixaDeTexto 2401">
          <a:extLst>
            <a:ext uri="{FF2B5EF4-FFF2-40B4-BE49-F238E27FC236}">
              <a16:creationId xmlns:a16="http://schemas.microsoft.com/office/drawing/2014/main" id="{B7BD377F-87D6-430C-828D-6C96EE74008B}"/>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03" name="CaixaDeTexto 2402">
          <a:extLst>
            <a:ext uri="{FF2B5EF4-FFF2-40B4-BE49-F238E27FC236}">
              <a16:creationId xmlns:a16="http://schemas.microsoft.com/office/drawing/2014/main" id="{67985FBA-10C7-4605-8853-B8CBE24B8CDB}"/>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04" name="CaixaDeTexto 2403">
          <a:extLst>
            <a:ext uri="{FF2B5EF4-FFF2-40B4-BE49-F238E27FC236}">
              <a16:creationId xmlns:a16="http://schemas.microsoft.com/office/drawing/2014/main" id="{B79FCF2D-D1D9-4ED0-8C21-3E258B6AF8D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05" name="CaixaDeTexto 2404">
          <a:extLst>
            <a:ext uri="{FF2B5EF4-FFF2-40B4-BE49-F238E27FC236}">
              <a16:creationId xmlns:a16="http://schemas.microsoft.com/office/drawing/2014/main" id="{EC3DF3BE-8F7C-49AE-BDE0-26239E812DD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06" name="CaixaDeTexto 2405">
          <a:extLst>
            <a:ext uri="{FF2B5EF4-FFF2-40B4-BE49-F238E27FC236}">
              <a16:creationId xmlns:a16="http://schemas.microsoft.com/office/drawing/2014/main" id="{DA5C6BBA-55BF-4A0A-8DAE-E319AED8AD9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07" name="CaixaDeTexto 2406">
          <a:extLst>
            <a:ext uri="{FF2B5EF4-FFF2-40B4-BE49-F238E27FC236}">
              <a16:creationId xmlns:a16="http://schemas.microsoft.com/office/drawing/2014/main" id="{D6934CC4-2ED9-4417-A809-9940DF5FD37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08" name="CaixaDeTexto 2407">
          <a:extLst>
            <a:ext uri="{FF2B5EF4-FFF2-40B4-BE49-F238E27FC236}">
              <a16:creationId xmlns:a16="http://schemas.microsoft.com/office/drawing/2014/main" id="{AECC3DF5-E905-4743-A148-B6D2D827E24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09" name="CaixaDeTexto 2408">
          <a:extLst>
            <a:ext uri="{FF2B5EF4-FFF2-40B4-BE49-F238E27FC236}">
              <a16:creationId xmlns:a16="http://schemas.microsoft.com/office/drawing/2014/main" id="{A22BA20B-5942-482C-945C-B7E14E664DB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0" name="CaixaDeTexto 2409">
          <a:extLst>
            <a:ext uri="{FF2B5EF4-FFF2-40B4-BE49-F238E27FC236}">
              <a16:creationId xmlns:a16="http://schemas.microsoft.com/office/drawing/2014/main" id="{72E5AE18-F282-4B9C-8ACD-54FB2CCC65A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1" name="CaixaDeTexto 2410">
          <a:extLst>
            <a:ext uri="{FF2B5EF4-FFF2-40B4-BE49-F238E27FC236}">
              <a16:creationId xmlns:a16="http://schemas.microsoft.com/office/drawing/2014/main" id="{1CAD3919-D42C-4C3C-9A5A-6A2B23B9311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2" name="CaixaDeTexto 2411">
          <a:extLst>
            <a:ext uri="{FF2B5EF4-FFF2-40B4-BE49-F238E27FC236}">
              <a16:creationId xmlns:a16="http://schemas.microsoft.com/office/drawing/2014/main" id="{6AFBB55F-278E-44F9-88B9-79055DF8D91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3" name="CaixaDeTexto 2412">
          <a:extLst>
            <a:ext uri="{FF2B5EF4-FFF2-40B4-BE49-F238E27FC236}">
              <a16:creationId xmlns:a16="http://schemas.microsoft.com/office/drawing/2014/main" id="{73D41DCE-9460-4EAB-B5AF-F38499C2467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4" name="CaixaDeTexto 2413">
          <a:extLst>
            <a:ext uri="{FF2B5EF4-FFF2-40B4-BE49-F238E27FC236}">
              <a16:creationId xmlns:a16="http://schemas.microsoft.com/office/drawing/2014/main" id="{FB790906-B1E9-47C8-96F7-567D6E84C93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5" name="CaixaDeTexto 2414">
          <a:extLst>
            <a:ext uri="{FF2B5EF4-FFF2-40B4-BE49-F238E27FC236}">
              <a16:creationId xmlns:a16="http://schemas.microsoft.com/office/drawing/2014/main" id="{69F935D0-93F6-4360-AC37-DBC786D6DE5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6" name="CaixaDeTexto 2415">
          <a:extLst>
            <a:ext uri="{FF2B5EF4-FFF2-40B4-BE49-F238E27FC236}">
              <a16:creationId xmlns:a16="http://schemas.microsoft.com/office/drawing/2014/main" id="{094F9165-C6FF-486C-8CDC-36AFDD3E927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7" name="CaixaDeTexto 2416">
          <a:extLst>
            <a:ext uri="{FF2B5EF4-FFF2-40B4-BE49-F238E27FC236}">
              <a16:creationId xmlns:a16="http://schemas.microsoft.com/office/drawing/2014/main" id="{AA52950B-0D71-439C-8104-62E52C1A794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8" name="CaixaDeTexto 2417">
          <a:extLst>
            <a:ext uri="{FF2B5EF4-FFF2-40B4-BE49-F238E27FC236}">
              <a16:creationId xmlns:a16="http://schemas.microsoft.com/office/drawing/2014/main" id="{669B24C7-D4B2-4A95-9141-A252C6C9AF6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19" name="CaixaDeTexto 2418">
          <a:extLst>
            <a:ext uri="{FF2B5EF4-FFF2-40B4-BE49-F238E27FC236}">
              <a16:creationId xmlns:a16="http://schemas.microsoft.com/office/drawing/2014/main" id="{8A2D82D6-0109-4D11-B3E0-5ECA84B19D0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0" name="CaixaDeTexto 2419">
          <a:extLst>
            <a:ext uri="{FF2B5EF4-FFF2-40B4-BE49-F238E27FC236}">
              <a16:creationId xmlns:a16="http://schemas.microsoft.com/office/drawing/2014/main" id="{45F086AE-74AF-4F9B-A33C-3726964A087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1" name="CaixaDeTexto 2420">
          <a:extLst>
            <a:ext uri="{FF2B5EF4-FFF2-40B4-BE49-F238E27FC236}">
              <a16:creationId xmlns:a16="http://schemas.microsoft.com/office/drawing/2014/main" id="{84E64A01-AF6E-430A-B388-AA3439129C6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2" name="CaixaDeTexto 2421">
          <a:extLst>
            <a:ext uri="{FF2B5EF4-FFF2-40B4-BE49-F238E27FC236}">
              <a16:creationId xmlns:a16="http://schemas.microsoft.com/office/drawing/2014/main" id="{D2BD1022-CDA9-48FF-B926-AB38730093A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3" name="CaixaDeTexto 2422">
          <a:extLst>
            <a:ext uri="{FF2B5EF4-FFF2-40B4-BE49-F238E27FC236}">
              <a16:creationId xmlns:a16="http://schemas.microsoft.com/office/drawing/2014/main" id="{33B2F546-88CA-4028-BB38-E7896314BB0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4" name="CaixaDeTexto 2423">
          <a:extLst>
            <a:ext uri="{FF2B5EF4-FFF2-40B4-BE49-F238E27FC236}">
              <a16:creationId xmlns:a16="http://schemas.microsoft.com/office/drawing/2014/main" id="{7B2B5143-C54F-4924-AEAC-F6152A49A60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5" name="CaixaDeTexto 2424">
          <a:extLst>
            <a:ext uri="{FF2B5EF4-FFF2-40B4-BE49-F238E27FC236}">
              <a16:creationId xmlns:a16="http://schemas.microsoft.com/office/drawing/2014/main" id="{C2001E9E-857E-430B-A5E4-26415E9838A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6" name="CaixaDeTexto 2425">
          <a:extLst>
            <a:ext uri="{FF2B5EF4-FFF2-40B4-BE49-F238E27FC236}">
              <a16:creationId xmlns:a16="http://schemas.microsoft.com/office/drawing/2014/main" id="{0DFC353B-D0D2-4CC5-9727-D74D4072FB3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7" name="CaixaDeTexto 2426">
          <a:extLst>
            <a:ext uri="{FF2B5EF4-FFF2-40B4-BE49-F238E27FC236}">
              <a16:creationId xmlns:a16="http://schemas.microsoft.com/office/drawing/2014/main" id="{827848D0-7EA0-45D4-BFB7-DBC2263C0D8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8" name="CaixaDeTexto 2427">
          <a:extLst>
            <a:ext uri="{FF2B5EF4-FFF2-40B4-BE49-F238E27FC236}">
              <a16:creationId xmlns:a16="http://schemas.microsoft.com/office/drawing/2014/main" id="{425C7AED-1695-4581-A8CD-EDFD834431A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29" name="CaixaDeTexto 2428">
          <a:extLst>
            <a:ext uri="{FF2B5EF4-FFF2-40B4-BE49-F238E27FC236}">
              <a16:creationId xmlns:a16="http://schemas.microsoft.com/office/drawing/2014/main" id="{5A07F8AD-45B8-47B2-AF18-29232DB0963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0" name="CaixaDeTexto 2429">
          <a:extLst>
            <a:ext uri="{FF2B5EF4-FFF2-40B4-BE49-F238E27FC236}">
              <a16:creationId xmlns:a16="http://schemas.microsoft.com/office/drawing/2014/main" id="{A0C5D8CD-F27F-4FCC-9BF6-AC9EEEF8962F}"/>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1" name="CaixaDeTexto 2430">
          <a:extLst>
            <a:ext uri="{FF2B5EF4-FFF2-40B4-BE49-F238E27FC236}">
              <a16:creationId xmlns:a16="http://schemas.microsoft.com/office/drawing/2014/main" id="{2A4EFB58-7F6E-4E68-9A72-2D1E57A6FF4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2" name="CaixaDeTexto 2431">
          <a:extLst>
            <a:ext uri="{FF2B5EF4-FFF2-40B4-BE49-F238E27FC236}">
              <a16:creationId xmlns:a16="http://schemas.microsoft.com/office/drawing/2014/main" id="{933B6175-E9D6-42D1-BA4B-AB60963EB93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3" name="CaixaDeTexto 2432">
          <a:extLst>
            <a:ext uri="{FF2B5EF4-FFF2-40B4-BE49-F238E27FC236}">
              <a16:creationId xmlns:a16="http://schemas.microsoft.com/office/drawing/2014/main" id="{A8F98B63-EC8D-4F8E-B336-6F5AFEA1A22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4" name="CaixaDeTexto 2433">
          <a:extLst>
            <a:ext uri="{FF2B5EF4-FFF2-40B4-BE49-F238E27FC236}">
              <a16:creationId xmlns:a16="http://schemas.microsoft.com/office/drawing/2014/main" id="{85EBE861-96D4-4A59-BB3B-24A9BC298C6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5" name="CaixaDeTexto 2434">
          <a:extLst>
            <a:ext uri="{FF2B5EF4-FFF2-40B4-BE49-F238E27FC236}">
              <a16:creationId xmlns:a16="http://schemas.microsoft.com/office/drawing/2014/main" id="{2EED9B4D-E35F-4693-A99E-53F9E6B5B36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6" name="CaixaDeTexto 2435">
          <a:extLst>
            <a:ext uri="{FF2B5EF4-FFF2-40B4-BE49-F238E27FC236}">
              <a16:creationId xmlns:a16="http://schemas.microsoft.com/office/drawing/2014/main" id="{31A002B4-C564-435C-9E1B-4D59F5158BF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7" name="CaixaDeTexto 2436">
          <a:extLst>
            <a:ext uri="{FF2B5EF4-FFF2-40B4-BE49-F238E27FC236}">
              <a16:creationId xmlns:a16="http://schemas.microsoft.com/office/drawing/2014/main" id="{9333C485-5A2B-4D6C-819A-FE466A4F660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8" name="CaixaDeTexto 2437">
          <a:extLst>
            <a:ext uri="{FF2B5EF4-FFF2-40B4-BE49-F238E27FC236}">
              <a16:creationId xmlns:a16="http://schemas.microsoft.com/office/drawing/2014/main" id="{E66A704F-E040-405D-AF2E-FED19F08B3A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39" name="CaixaDeTexto 2438">
          <a:extLst>
            <a:ext uri="{FF2B5EF4-FFF2-40B4-BE49-F238E27FC236}">
              <a16:creationId xmlns:a16="http://schemas.microsoft.com/office/drawing/2014/main" id="{75B94623-16DB-446B-A6DD-28B61C9AFDB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0" name="CaixaDeTexto 2439">
          <a:extLst>
            <a:ext uri="{FF2B5EF4-FFF2-40B4-BE49-F238E27FC236}">
              <a16:creationId xmlns:a16="http://schemas.microsoft.com/office/drawing/2014/main" id="{FB333522-9D61-43B0-8CF5-EF1AB98B248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1" name="CaixaDeTexto 2440">
          <a:extLst>
            <a:ext uri="{FF2B5EF4-FFF2-40B4-BE49-F238E27FC236}">
              <a16:creationId xmlns:a16="http://schemas.microsoft.com/office/drawing/2014/main" id="{308C8F96-3E7F-43C6-9603-2FF86505B2A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2" name="CaixaDeTexto 2441">
          <a:extLst>
            <a:ext uri="{FF2B5EF4-FFF2-40B4-BE49-F238E27FC236}">
              <a16:creationId xmlns:a16="http://schemas.microsoft.com/office/drawing/2014/main" id="{AD6CF57A-1079-4D38-8BE4-3E7F4B019BC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3" name="CaixaDeTexto 2442">
          <a:extLst>
            <a:ext uri="{FF2B5EF4-FFF2-40B4-BE49-F238E27FC236}">
              <a16:creationId xmlns:a16="http://schemas.microsoft.com/office/drawing/2014/main" id="{86F6C842-D9D5-4214-B9DF-E19F1BFFD5B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4" name="CaixaDeTexto 2443">
          <a:extLst>
            <a:ext uri="{FF2B5EF4-FFF2-40B4-BE49-F238E27FC236}">
              <a16:creationId xmlns:a16="http://schemas.microsoft.com/office/drawing/2014/main" id="{1479BA38-7477-4573-82D1-3376ABFC36C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5" name="CaixaDeTexto 2444">
          <a:extLst>
            <a:ext uri="{FF2B5EF4-FFF2-40B4-BE49-F238E27FC236}">
              <a16:creationId xmlns:a16="http://schemas.microsoft.com/office/drawing/2014/main" id="{3811B136-CC15-4746-A5F4-409A93E186F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6" name="CaixaDeTexto 2445">
          <a:extLst>
            <a:ext uri="{FF2B5EF4-FFF2-40B4-BE49-F238E27FC236}">
              <a16:creationId xmlns:a16="http://schemas.microsoft.com/office/drawing/2014/main" id="{16B88FF8-C753-44FB-8792-EE56DCC5509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7" name="CaixaDeTexto 2446">
          <a:extLst>
            <a:ext uri="{FF2B5EF4-FFF2-40B4-BE49-F238E27FC236}">
              <a16:creationId xmlns:a16="http://schemas.microsoft.com/office/drawing/2014/main" id="{556BF3E7-99E4-447E-8EB7-B728EC6F08E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48" name="CaixaDeTexto 2447">
          <a:extLst>
            <a:ext uri="{FF2B5EF4-FFF2-40B4-BE49-F238E27FC236}">
              <a16:creationId xmlns:a16="http://schemas.microsoft.com/office/drawing/2014/main" id="{C37F7978-5B40-4A1B-B53F-41274654833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49" name="CaixaDeTexto 2448">
          <a:extLst>
            <a:ext uri="{FF2B5EF4-FFF2-40B4-BE49-F238E27FC236}">
              <a16:creationId xmlns:a16="http://schemas.microsoft.com/office/drawing/2014/main" id="{F17C189F-846D-4FCE-80A2-7F21BB06A37E}"/>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0" name="CaixaDeTexto 2449">
          <a:extLst>
            <a:ext uri="{FF2B5EF4-FFF2-40B4-BE49-F238E27FC236}">
              <a16:creationId xmlns:a16="http://schemas.microsoft.com/office/drawing/2014/main" id="{FBFF1EA4-CE6F-47DD-8F4E-661BCA1C8B9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51" name="CaixaDeTexto 2450">
          <a:extLst>
            <a:ext uri="{FF2B5EF4-FFF2-40B4-BE49-F238E27FC236}">
              <a16:creationId xmlns:a16="http://schemas.microsoft.com/office/drawing/2014/main" id="{80DAA18D-E4D0-436B-BA6D-3AA51154D8F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2" name="CaixaDeTexto 2451">
          <a:extLst>
            <a:ext uri="{FF2B5EF4-FFF2-40B4-BE49-F238E27FC236}">
              <a16:creationId xmlns:a16="http://schemas.microsoft.com/office/drawing/2014/main" id="{A4A3658F-C59A-4E4C-B841-3B0D95E289D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3" name="CaixaDeTexto 2452">
          <a:extLst>
            <a:ext uri="{FF2B5EF4-FFF2-40B4-BE49-F238E27FC236}">
              <a16:creationId xmlns:a16="http://schemas.microsoft.com/office/drawing/2014/main" id="{DD34A35A-EF88-4A58-8136-CC92AAB9143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4" name="CaixaDeTexto 2453">
          <a:extLst>
            <a:ext uri="{FF2B5EF4-FFF2-40B4-BE49-F238E27FC236}">
              <a16:creationId xmlns:a16="http://schemas.microsoft.com/office/drawing/2014/main" id="{80648D9E-AD36-4DF2-8477-56B0C89D3A0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5" name="CaixaDeTexto 2454">
          <a:extLst>
            <a:ext uri="{FF2B5EF4-FFF2-40B4-BE49-F238E27FC236}">
              <a16:creationId xmlns:a16="http://schemas.microsoft.com/office/drawing/2014/main" id="{14DFBD75-E477-4273-8D24-8E114E85A81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6" name="CaixaDeTexto 2455">
          <a:extLst>
            <a:ext uri="{FF2B5EF4-FFF2-40B4-BE49-F238E27FC236}">
              <a16:creationId xmlns:a16="http://schemas.microsoft.com/office/drawing/2014/main" id="{5A0EA992-CEED-434F-B885-3905AE175EE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7" name="CaixaDeTexto 2456">
          <a:extLst>
            <a:ext uri="{FF2B5EF4-FFF2-40B4-BE49-F238E27FC236}">
              <a16:creationId xmlns:a16="http://schemas.microsoft.com/office/drawing/2014/main" id="{DD1B1B94-91FF-456D-B041-44B6AC69C15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58" name="CaixaDeTexto 2457">
          <a:extLst>
            <a:ext uri="{FF2B5EF4-FFF2-40B4-BE49-F238E27FC236}">
              <a16:creationId xmlns:a16="http://schemas.microsoft.com/office/drawing/2014/main" id="{A87D7092-AED8-4E09-9480-D31F1E364F8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59" name="CaixaDeTexto 2458">
          <a:extLst>
            <a:ext uri="{FF2B5EF4-FFF2-40B4-BE49-F238E27FC236}">
              <a16:creationId xmlns:a16="http://schemas.microsoft.com/office/drawing/2014/main" id="{17072231-8AB7-4191-AE06-48F57ABF6B04}"/>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0" name="CaixaDeTexto 2459">
          <a:extLst>
            <a:ext uri="{FF2B5EF4-FFF2-40B4-BE49-F238E27FC236}">
              <a16:creationId xmlns:a16="http://schemas.microsoft.com/office/drawing/2014/main" id="{99FAEC48-3324-466A-9F03-F3AEB593DF1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1" name="CaixaDeTexto 2460">
          <a:extLst>
            <a:ext uri="{FF2B5EF4-FFF2-40B4-BE49-F238E27FC236}">
              <a16:creationId xmlns:a16="http://schemas.microsoft.com/office/drawing/2014/main" id="{F6EA60E5-9FA1-4A8D-AFB8-D6B16759806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2" name="CaixaDeTexto 2461">
          <a:extLst>
            <a:ext uri="{FF2B5EF4-FFF2-40B4-BE49-F238E27FC236}">
              <a16:creationId xmlns:a16="http://schemas.microsoft.com/office/drawing/2014/main" id="{D39B467C-6370-4F0B-A2FD-41241108B44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3" name="CaixaDeTexto 2462">
          <a:extLst>
            <a:ext uri="{FF2B5EF4-FFF2-40B4-BE49-F238E27FC236}">
              <a16:creationId xmlns:a16="http://schemas.microsoft.com/office/drawing/2014/main" id="{AE8F3CDD-95ED-4258-8F45-0D8D3333E4A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4" name="CaixaDeTexto 2463">
          <a:extLst>
            <a:ext uri="{FF2B5EF4-FFF2-40B4-BE49-F238E27FC236}">
              <a16:creationId xmlns:a16="http://schemas.microsoft.com/office/drawing/2014/main" id="{21DF8819-F01F-43CA-8811-CB8EEF4079D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5" name="CaixaDeTexto 2464">
          <a:extLst>
            <a:ext uri="{FF2B5EF4-FFF2-40B4-BE49-F238E27FC236}">
              <a16:creationId xmlns:a16="http://schemas.microsoft.com/office/drawing/2014/main" id="{7A00233D-3E11-47B1-9497-3746D9F3464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6" name="CaixaDeTexto 2465">
          <a:extLst>
            <a:ext uri="{FF2B5EF4-FFF2-40B4-BE49-F238E27FC236}">
              <a16:creationId xmlns:a16="http://schemas.microsoft.com/office/drawing/2014/main" id="{E33F6888-9C44-4F64-AB33-88BD693693B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67" name="CaixaDeTexto 2466">
          <a:extLst>
            <a:ext uri="{FF2B5EF4-FFF2-40B4-BE49-F238E27FC236}">
              <a16:creationId xmlns:a16="http://schemas.microsoft.com/office/drawing/2014/main" id="{8E91BE87-A30F-4A71-9395-93F71D24465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68" name="CaixaDeTexto 2467">
          <a:extLst>
            <a:ext uri="{FF2B5EF4-FFF2-40B4-BE49-F238E27FC236}">
              <a16:creationId xmlns:a16="http://schemas.microsoft.com/office/drawing/2014/main" id="{43FC008A-92AE-4B0B-959C-838A0B029979}"/>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69" name="CaixaDeTexto 2468">
          <a:extLst>
            <a:ext uri="{FF2B5EF4-FFF2-40B4-BE49-F238E27FC236}">
              <a16:creationId xmlns:a16="http://schemas.microsoft.com/office/drawing/2014/main" id="{A557301A-528E-4D5D-9BF3-13252419448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0" name="CaixaDeTexto 2469">
          <a:extLst>
            <a:ext uri="{FF2B5EF4-FFF2-40B4-BE49-F238E27FC236}">
              <a16:creationId xmlns:a16="http://schemas.microsoft.com/office/drawing/2014/main" id="{7196A018-97CA-4DBD-9A47-5CD8EC2F683A}"/>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471" name="CaixaDeTexto 2470">
          <a:extLst>
            <a:ext uri="{FF2B5EF4-FFF2-40B4-BE49-F238E27FC236}">
              <a16:creationId xmlns:a16="http://schemas.microsoft.com/office/drawing/2014/main" id="{D5E4A6D6-CCC2-4224-BFBE-F006668D2E0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2" name="CaixaDeTexto 2471">
          <a:extLst>
            <a:ext uri="{FF2B5EF4-FFF2-40B4-BE49-F238E27FC236}">
              <a16:creationId xmlns:a16="http://schemas.microsoft.com/office/drawing/2014/main" id="{3A50A425-F5BA-49D3-B53D-536872B77046}"/>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3" name="CaixaDeTexto 2472">
          <a:extLst>
            <a:ext uri="{FF2B5EF4-FFF2-40B4-BE49-F238E27FC236}">
              <a16:creationId xmlns:a16="http://schemas.microsoft.com/office/drawing/2014/main" id="{3CF74649-0193-49D0-BC3D-9905EBB5B520}"/>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4" name="CaixaDeTexto 2473">
          <a:extLst>
            <a:ext uri="{FF2B5EF4-FFF2-40B4-BE49-F238E27FC236}">
              <a16:creationId xmlns:a16="http://schemas.microsoft.com/office/drawing/2014/main" id="{940FA0A9-B3F3-4C71-8D5C-C4A502186F53}"/>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5" name="CaixaDeTexto 2474">
          <a:extLst>
            <a:ext uri="{FF2B5EF4-FFF2-40B4-BE49-F238E27FC236}">
              <a16:creationId xmlns:a16="http://schemas.microsoft.com/office/drawing/2014/main" id="{01749043-1AC2-46EF-B2F4-5BC56072F2D1}"/>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6" name="CaixaDeTexto 2475">
          <a:extLst>
            <a:ext uri="{FF2B5EF4-FFF2-40B4-BE49-F238E27FC236}">
              <a16:creationId xmlns:a16="http://schemas.microsoft.com/office/drawing/2014/main" id="{7C4A8697-E631-41F6-9D12-506B5CB642DE}"/>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7" name="CaixaDeTexto 2476">
          <a:extLst>
            <a:ext uri="{FF2B5EF4-FFF2-40B4-BE49-F238E27FC236}">
              <a16:creationId xmlns:a16="http://schemas.microsoft.com/office/drawing/2014/main" id="{88DD9A38-E496-4360-B998-4835455565A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478" name="CaixaDeTexto 2477">
          <a:extLst>
            <a:ext uri="{FF2B5EF4-FFF2-40B4-BE49-F238E27FC236}">
              <a16:creationId xmlns:a16="http://schemas.microsoft.com/office/drawing/2014/main" id="{E6701C05-C863-4578-8713-FDFE41BBB40F}"/>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79" name="CaixaDeTexto 2478">
          <a:extLst>
            <a:ext uri="{FF2B5EF4-FFF2-40B4-BE49-F238E27FC236}">
              <a16:creationId xmlns:a16="http://schemas.microsoft.com/office/drawing/2014/main" id="{87177091-E009-409B-94EF-7174A43C84C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0" name="CaixaDeTexto 2479">
          <a:extLst>
            <a:ext uri="{FF2B5EF4-FFF2-40B4-BE49-F238E27FC236}">
              <a16:creationId xmlns:a16="http://schemas.microsoft.com/office/drawing/2014/main" id="{176363D5-EE5F-46D3-80E9-533F9C1BB80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81" name="CaixaDeTexto 2480">
          <a:extLst>
            <a:ext uri="{FF2B5EF4-FFF2-40B4-BE49-F238E27FC236}">
              <a16:creationId xmlns:a16="http://schemas.microsoft.com/office/drawing/2014/main" id="{C54513C6-4F8B-494C-B60E-7CF6D027D0F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2" name="CaixaDeTexto 2481">
          <a:extLst>
            <a:ext uri="{FF2B5EF4-FFF2-40B4-BE49-F238E27FC236}">
              <a16:creationId xmlns:a16="http://schemas.microsoft.com/office/drawing/2014/main" id="{4160B839-35A7-4576-B0AE-4423F453A11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3" name="CaixaDeTexto 2482">
          <a:extLst>
            <a:ext uri="{FF2B5EF4-FFF2-40B4-BE49-F238E27FC236}">
              <a16:creationId xmlns:a16="http://schemas.microsoft.com/office/drawing/2014/main" id="{1A840AC9-5DBB-4084-A7DC-FE7084CE5ED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4" name="CaixaDeTexto 2483">
          <a:extLst>
            <a:ext uri="{FF2B5EF4-FFF2-40B4-BE49-F238E27FC236}">
              <a16:creationId xmlns:a16="http://schemas.microsoft.com/office/drawing/2014/main" id="{2F243EEF-6D36-441A-A0ED-98185AE7303B}"/>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5" name="CaixaDeTexto 2484">
          <a:extLst>
            <a:ext uri="{FF2B5EF4-FFF2-40B4-BE49-F238E27FC236}">
              <a16:creationId xmlns:a16="http://schemas.microsoft.com/office/drawing/2014/main" id="{8BBC1976-4C32-40CE-9A78-0E7EBEB91D6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6" name="CaixaDeTexto 2485">
          <a:extLst>
            <a:ext uri="{FF2B5EF4-FFF2-40B4-BE49-F238E27FC236}">
              <a16:creationId xmlns:a16="http://schemas.microsoft.com/office/drawing/2014/main" id="{F05DBC09-FCA1-435C-845E-0AF51B856CEF}"/>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7" name="CaixaDeTexto 2486">
          <a:extLst>
            <a:ext uri="{FF2B5EF4-FFF2-40B4-BE49-F238E27FC236}">
              <a16:creationId xmlns:a16="http://schemas.microsoft.com/office/drawing/2014/main" id="{5FC885D6-4CC7-47F2-AF8A-289A45FDEDB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88" name="CaixaDeTexto 2487">
          <a:extLst>
            <a:ext uri="{FF2B5EF4-FFF2-40B4-BE49-F238E27FC236}">
              <a16:creationId xmlns:a16="http://schemas.microsoft.com/office/drawing/2014/main" id="{155BCBC6-E9B1-4E7D-B580-6C8D5B35385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89" name="CaixaDeTexto 2488">
          <a:extLst>
            <a:ext uri="{FF2B5EF4-FFF2-40B4-BE49-F238E27FC236}">
              <a16:creationId xmlns:a16="http://schemas.microsoft.com/office/drawing/2014/main" id="{DB3B3B55-C2F3-4178-AC94-C84D234D289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0" name="CaixaDeTexto 2489">
          <a:extLst>
            <a:ext uri="{FF2B5EF4-FFF2-40B4-BE49-F238E27FC236}">
              <a16:creationId xmlns:a16="http://schemas.microsoft.com/office/drawing/2014/main" id="{5940FFB3-1921-4ED6-A633-04DCFF5A923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491" name="CaixaDeTexto 2490">
          <a:extLst>
            <a:ext uri="{FF2B5EF4-FFF2-40B4-BE49-F238E27FC236}">
              <a16:creationId xmlns:a16="http://schemas.microsoft.com/office/drawing/2014/main" id="{0B68555B-767D-48D1-9F15-F0CD9B95EEB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2" name="CaixaDeTexto 2491">
          <a:extLst>
            <a:ext uri="{FF2B5EF4-FFF2-40B4-BE49-F238E27FC236}">
              <a16:creationId xmlns:a16="http://schemas.microsoft.com/office/drawing/2014/main" id="{A1DC5254-46FA-4C64-8CB3-7838A169F619}"/>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3" name="CaixaDeTexto 2492">
          <a:extLst>
            <a:ext uri="{FF2B5EF4-FFF2-40B4-BE49-F238E27FC236}">
              <a16:creationId xmlns:a16="http://schemas.microsoft.com/office/drawing/2014/main" id="{6A5101F9-A8F5-4B99-80E5-9D45B279321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4" name="CaixaDeTexto 2493">
          <a:extLst>
            <a:ext uri="{FF2B5EF4-FFF2-40B4-BE49-F238E27FC236}">
              <a16:creationId xmlns:a16="http://schemas.microsoft.com/office/drawing/2014/main" id="{655534AC-B9BD-4004-9DD6-FA7CA7B7214F}"/>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5" name="CaixaDeTexto 2494">
          <a:extLst>
            <a:ext uri="{FF2B5EF4-FFF2-40B4-BE49-F238E27FC236}">
              <a16:creationId xmlns:a16="http://schemas.microsoft.com/office/drawing/2014/main" id="{847C63F3-770A-4FB2-BC92-DAEA331EB26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6" name="CaixaDeTexto 2495">
          <a:extLst>
            <a:ext uri="{FF2B5EF4-FFF2-40B4-BE49-F238E27FC236}">
              <a16:creationId xmlns:a16="http://schemas.microsoft.com/office/drawing/2014/main" id="{01451D45-7175-439A-9DE6-C5CFA9ED0D9F}"/>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7" name="CaixaDeTexto 2496">
          <a:extLst>
            <a:ext uri="{FF2B5EF4-FFF2-40B4-BE49-F238E27FC236}">
              <a16:creationId xmlns:a16="http://schemas.microsoft.com/office/drawing/2014/main" id="{9148094A-D481-4D7B-8F32-242783D1B7DF}"/>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8" name="CaixaDeTexto 2497">
          <a:extLst>
            <a:ext uri="{FF2B5EF4-FFF2-40B4-BE49-F238E27FC236}">
              <a16:creationId xmlns:a16="http://schemas.microsoft.com/office/drawing/2014/main" id="{70EFEBEA-89F5-47B4-8BA0-49C3A96BEB74}"/>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499" name="CaixaDeTexto 2498">
          <a:extLst>
            <a:ext uri="{FF2B5EF4-FFF2-40B4-BE49-F238E27FC236}">
              <a16:creationId xmlns:a16="http://schemas.microsoft.com/office/drawing/2014/main" id="{74EC3DE5-010C-40B5-A970-C952640E7023}"/>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0" name="CaixaDeTexto 2499">
          <a:extLst>
            <a:ext uri="{FF2B5EF4-FFF2-40B4-BE49-F238E27FC236}">
              <a16:creationId xmlns:a16="http://schemas.microsoft.com/office/drawing/2014/main" id="{EBAD4EF9-304F-4FE2-BE94-4F7BCAB07549}"/>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1" name="CaixaDeTexto 2500">
          <a:extLst>
            <a:ext uri="{FF2B5EF4-FFF2-40B4-BE49-F238E27FC236}">
              <a16:creationId xmlns:a16="http://schemas.microsoft.com/office/drawing/2014/main" id="{93475824-7706-45B0-A599-BADAEA75D9C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2" name="CaixaDeTexto 2501">
          <a:extLst>
            <a:ext uri="{FF2B5EF4-FFF2-40B4-BE49-F238E27FC236}">
              <a16:creationId xmlns:a16="http://schemas.microsoft.com/office/drawing/2014/main" id="{50A865FE-DD39-4FE2-B329-4A525629997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3" name="CaixaDeTexto 2502">
          <a:extLst>
            <a:ext uri="{FF2B5EF4-FFF2-40B4-BE49-F238E27FC236}">
              <a16:creationId xmlns:a16="http://schemas.microsoft.com/office/drawing/2014/main" id="{666A67FB-C604-49D7-A319-EB5947678DC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4" name="CaixaDeTexto 2503">
          <a:extLst>
            <a:ext uri="{FF2B5EF4-FFF2-40B4-BE49-F238E27FC236}">
              <a16:creationId xmlns:a16="http://schemas.microsoft.com/office/drawing/2014/main" id="{2ADC5637-50F3-4024-A95E-C848310B4A8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5" name="CaixaDeTexto 2504">
          <a:extLst>
            <a:ext uri="{FF2B5EF4-FFF2-40B4-BE49-F238E27FC236}">
              <a16:creationId xmlns:a16="http://schemas.microsoft.com/office/drawing/2014/main" id="{BCF63C75-EF18-4C29-926F-C886DE00F32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6" name="CaixaDeTexto 2505">
          <a:extLst>
            <a:ext uri="{FF2B5EF4-FFF2-40B4-BE49-F238E27FC236}">
              <a16:creationId xmlns:a16="http://schemas.microsoft.com/office/drawing/2014/main" id="{44B0AB4F-92F8-4D5E-AEE9-F8A619A97DD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7" name="CaixaDeTexto 2506">
          <a:extLst>
            <a:ext uri="{FF2B5EF4-FFF2-40B4-BE49-F238E27FC236}">
              <a16:creationId xmlns:a16="http://schemas.microsoft.com/office/drawing/2014/main" id="{11BA9D03-81FC-4C43-90BA-0CD304F9DB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508" name="CaixaDeTexto 2507">
          <a:extLst>
            <a:ext uri="{FF2B5EF4-FFF2-40B4-BE49-F238E27FC236}">
              <a16:creationId xmlns:a16="http://schemas.microsoft.com/office/drawing/2014/main" id="{31BA9A82-25EB-4C6D-9218-1C15F604F939}"/>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09" name="CaixaDeTexto 2508">
          <a:extLst>
            <a:ext uri="{FF2B5EF4-FFF2-40B4-BE49-F238E27FC236}">
              <a16:creationId xmlns:a16="http://schemas.microsoft.com/office/drawing/2014/main" id="{0762FE5A-299E-4EB4-BAA8-AE4477EF038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0" name="CaixaDeTexto 2509">
          <a:extLst>
            <a:ext uri="{FF2B5EF4-FFF2-40B4-BE49-F238E27FC236}">
              <a16:creationId xmlns:a16="http://schemas.microsoft.com/office/drawing/2014/main" id="{C9005354-A24E-4D11-8795-19DEF373D6B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1" name="CaixaDeTexto 2510">
          <a:extLst>
            <a:ext uri="{FF2B5EF4-FFF2-40B4-BE49-F238E27FC236}">
              <a16:creationId xmlns:a16="http://schemas.microsoft.com/office/drawing/2014/main" id="{732659B6-0295-4A06-8403-A2BADEE1A40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2" name="CaixaDeTexto 2511">
          <a:extLst>
            <a:ext uri="{FF2B5EF4-FFF2-40B4-BE49-F238E27FC236}">
              <a16:creationId xmlns:a16="http://schemas.microsoft.com/office/drawing/2014/main" id="{49A5C64A-96BC-47D5-B215-730CBBC9170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3" name="CaixaDeTexto 2512">
          <a:extLst>
            <a:ext uri="{FF2B5EF4-FFF2-40B4-BE49-F238E27FC236}">
              <a16:creationId xmlns:a16="http://schemas.microsoft.com/office/drawing/2014/main" id="{F994CE10-B0BF-4581-BFA8-021E4AF95D08}"/>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4" name="CaixaDeTexto 2513">
          <a:extLst>
            <a:ext uri="{FF2B5EF4-FFF2-40B4-BE49-F238E27FC236}">
              <a16:creationId xmlns:a16="http://schemas.microsoft.com/office/drawing/2014/main" id="{51ED2964-B8FD-4E71-A21D-903B9BAC16C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5" name="CaixaDeTexto 2514">
          <a:extLst>
            <a:ext uri="{FF2B5EF4-FFF2-40B4-BE49-F238E27FC236}">
              <a16:creationId xmlns:a16="http://schemas.microsoft.com/office/drawing/2014/main" id="{EACDC2DC-1604-4BCA-9286-6A77CDFE6DD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6" name="CaixaDeTexto 2515">
          <a:extLst>
            <a:ext uri="{FF2B5EF4-FFF2-40B4-BE49-F238E27FC236}">
              <a16:creationId xmlns:a16="http://schemas.microsoft.com/office/drawing/2014/main" id="{0495CE8B-1D2D-4B53-B1E6-C46459CBC61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517" name="CaixaDeTexto 2516">
          <a:extLst>
            <a:ext uri="{FF2B5EF4-FFF2-40B4-BE49-F238E27FC236}">
              <a16:creationId xmlns:a16="http://schemas.microsoft.com/office/drawing/2014/main" id="{B3151E83-42C0-4A98-82FA-4E3991445BF8}"/>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8" name="CaixaDeTexto 2517">
          <a:extLst>
            <a:ext uri="{FF2B5EF4-FFF2-40B4-BE49-F238E27FC236}">
              <a16:creationId xmlns:a16="http://schemas.microsoft.com/office/drawing/2014/main" id="{2FA2C893-E365-4480-9E8F-B519509543F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19" name="CaixaDeTexto 2518">
          <a:extLst>
            <a:ext uri="{FF2B5EF4-FFF2-40B4-BE49-F238E27FC236}">
              <a16:creationId xmlns:a16="http://schemas.microsoft.com/office/drawing/2014/main" id="{A66739F9-5190-40DF-9C2F-E058140B2A7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0" name="CaixaDeTexto 2519">
          <a:extLst>
            <a:ext uri="{FF2B5EF4-FFF2-40B4-BE49-F238E27FC236}">
              <a16:creationId xmlns:a16="http://schemas.microsoft.com/office/drawing/2014/main" id="{99FD921D-E16E-4C22-BFA9-4E62793DE23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1" name="CaixaDeTexto 2520">
          <a:extLst>
            <a:ext uri="{FF2B5EF4-FFF2-40B4-BE49-F238E27FC236}">
              <a16:creationId xmlns:a16="http://schemas.microsoft.com/office/drawing/2014/main" id="{0A45F358-DC06-4E7C-A8A6-7B703E1C7E9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2" name="CaixaDeTexto 2521">
          <a:extLst>
            <a:ext uri="{FF2B5EF4-FFF2-40B4-BE49-F238E27FC236}">
              <a16:creationId xmlns:a16="http://schemas.microsoft.com/office/drawing/2014/main" id="{32F302C1-A4A1-4E75-B36E-F733918657E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3" name="CaixaDeTexto 2522">
          <a:extLst>
            <a:ext uri="{FF2B5EF4-FFF2-40B4-BE49-F238E27FC236}">
              <a16:creationId xmlns:a16="http://schemas.microsoft.com/office/drawing/2014/main" id="{D09A6131-2017-4D6F-AC7B-94F7DC08FFF2}"/>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4" name="CaixaDeTexto 2523">
          <a:extLst>
            <a:ext uri="{FF2B5EF4-FFF2-40B4-BE49-F238E27FC236}">
              <a16:creationId xmlns:a16="http://schemas.microsoft.com/office/drawing/2014/main" id="{B4BA8184-8C8C-4357-877D-3A8B15B8621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5" name="CaixaDeTexto 2524">
          <a:extLst>
            <a:ext uri="{FF2B5EF4-FFF2-40B4-BE49-F238E27FC236}">
              <a16:creationId xmlns:a16="http://schemas.microsoft.com/office/drawing/2014/main" id="{DAEBC689-DEF7-4A37-8FA8-93F2D82524D3}"/>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526" name="CaixaDeTexto 2525">
          <a:extLst>
            <a:ext uri="{FF2B5EF4-FFF2-40B4-BE49-F238E27FC236}">
              <a16:creationId xmlns:a16="http://schemas.microsoft.com/office/drawing/2014/main" id="{7479B853-D92D-4E06-9318-85C77483A6B6}"/>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7" name="CaixaDeTexto 2526">
          <a:extLst>
            <a:ext uri="{FF2B5EF4-FFF2-40B4-BE49-F238E27FC236}">
              <a16:creationId xmlns:a16="http://schemas.microsoft.com/office/drawing/2014/main" id="{63A2825D-0E07-4AD6-B3CE-35C7A0EA0D8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8" name="CaixaDeTexto 2527">
          <a:extLst>
            <a:ext uri="{FF2B5EF4-FFF2-40B4-BE49-F238E27FC236}">
              <a16:creationId xmlns:a16="http://schemas.microsoft.com/office/drawing/2014/main" id="{2D29A9BE-AEA2-4EF8-B707-4838832C7DA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29" name="CaixaDeTexto 2528">
          <a:extLst>
            <a:ext uri="{FF2B5EF4-FFF2-40B4-BE49-F238E27FC236}">
              <a16:creationId xmlns:a16="http://schemas.microsoft.com/office/drawing/2014/main" id="{2860E33D-3107-44EB-8048-DD29645FFEE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0" name="CaixaDeTexto 2529">
          <a:extLst>
            <a:ext uri="{FF2B5EF4-FFF2-40B4-BE49-F238E27FC236}">
              <a16:creationId xmlns:a16="http://schemas.microsoft.com/office/drawing/2014/main" id="{9CDE91E2-8C51-427B-9AEA-351BD6498AE6}"/>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1" name="CaixaDeTexto 2530">
          <a:extLst>
            <a:ext uri="{FF2B5EF4-FFF2-40B4-BE49-F238E27FC236}">
              <a16:creationId xmlns:a16="http://schemas.microsoft.com/office/drawing/2014/main" id="{BEDACE7D-5CDC-405C-B499-DDC0C2EF89F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2" name="CaixaDeTexto 2531">
          <a:extLst>
            <a:ext uri="{FF2B5EF4-FFF2-40B4-BE49-F238E27FC236}">
              <a16:creationId xmlns:a16="http://schemas.microsoft.com/office/drawing/2014/main" id="{AAED77F4-3EF3-4897-98B2-1679BAF4287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3" name="CaixaDeTexto 2532">
          <a:extLst>
            <a:ext uri="{FF2B5EF4-FFF2-40B4-BE49-F238E27FC236}">
              <a16:creationId xmlns:a16="http://schemas.microsoft.com/office/drawing/2014/main" id="{22811712-D471-48BB-B140-B97D7289466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4" name="CaixaDeTexto 2533">
          <a:extLst>
            <a:ext uri="{FF2B5EF4-FFF2-40B4-BE49-F238E27FC236}">
              <a16:creationId xmlns:a16="http://schemas.microsoft.com/office/drawing/2014/main" id="{1B2A1F7B-331B-4C6C-8164-D8C267519E2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535" name="CaixaDeTexto 2534">
          <a:extLst>
            <a:ext uri="{FF2B5EF4-FFF2-40B4-BE49-F238E27FC236}">
              <a16:creationId xmlns:a16="http://schemas.microsoft.com/office/drawing/2014/main" id="{900C4A00-A277-4D8D-8227-06946327342D}"/>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6" name="CaixaDeTexto 2535">
          <a:extLst>
            <a:ext uri="{FF2B5EF4-FFF2-40B4-BE49-F238E27FC236}">
              <a16:creationId xmlns:a16="http://schemas.microsoft.com/office/drawing/2014/main" id="{5EDAB0B1-A0A9-464D-8BFA-10930FA7365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7" name="CaixaDeTexto 2536">
          <a:extLst>
            <a:ext uri="{FF2B5EF4-FFF2-40B4-BE49-F238E27FC236}">
              <a16:creationId xmlns:a16="http://schemas.microsoft.com/office/drawing/2014/main" id="{C974C893-732B-4F84-8F9E-FB5A1F23CD27}"/>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8" name="CaixaDeTexto 2537">
          <a:extLst>
            <a:ext uri="{FF2B5EF4-FFF2-40B4-BE49-F238E27FC236}">
              <a16:creationId xmlns:a16="http://schemas.microsoft.com/office/drawing/2014/main" id="{73261FD8-A82F-4799-B589-545AF76C62C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39" name="CaixaDeTexto 2538">
          <a:extLst>
            <a:ext uri="{FF2B5EF4-FFF2-40B4-BE49-F238E27FC236}">
              <a16:creationId xmlns:a16="http://schemas.microsoft.com/office/drawing/2014/main" id="{1513003D-BF70-4A19-9FEB-50BDC2BD559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0" name="CaixaDeTexto 2539">
          <a:extLst>
            <a:ext uri="{FF2B5EF4-FFF2-40B4-BE49-F238E27FC236}">
              <a16:creationId xmlns:a16="http://schemas.microsoft.com/office/drawing/2014/main" id="{C38631CF-D3F5-438C-8744-C6F243D13361}"/>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1" name="CaixaDeTexto 2540">
          <a:extLst>
            <a:ext uri="{FF2B5EF4-FFF2-40B4-BE49-F238E27FC236}">
              <a16:creationId xmlns:a16="http://schemas.microsoft.com/office/drawing/2014/main" id="{25DF32C8-9A33-48AC-93F3-74ABC9EE3DFA}"/>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2" name="CaixaDeTexto 2541">
          <a:extLst>
            <a:ext uri="{FF2B5EF4-FFF2-40B4-BE49-F238E27FC236}">
              <a16:creationId xmlns:a16="http://schemas.microsoft.com/office/drawing/2014/main" id="{9D6D09D1-22E6-46EF-AF02-248F670E034E}"/>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3" name="CaixaDeTexto 2542">
          <a:extLst>
            <a:ext uri="{FF2B5EF4-FFF2-40B4-BE49-F238E27FC236}">
              <a16:creationId xmlns:a16="http://schemas.microsoft.com/office/drawing/2014/main" id="{A95DA3B8-2D33-41EA-A1ED-4CE163A2B084}"/>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544" name="CaixaDeTexto 2543">
          <a:extLst>
            <a:ext uri="{FF2B5EF4-FFF2-40B4-BE49-F238E27FC236}">
              <a16:creationId xmlns:a16="http://schemas.microsoft.com/office/drawing/2014/main" id="{DA7C2328-D92D-4242-A26D-B40EC2D8E5A0}"/>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5" name="CaixaDeTexto 2544">
          <a:extLst>
            <a:ext uri="{FF2B5EF4-FFF2-40B4-BE49-F238E27FC236}">
              <a16:creationId xmlns:a16="http://schemas.microsoft.com/office/drawing/2014/main" id="{7523B98C-4899-4316-A666-AD704B4C26ED}"/>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6" name="CaixaDeTexto 2545">
          <a:extLst>
            <a:ext uri="{FF2B5EF4-FFF2-40B4-BE49-F238E27FC236}">
              <a16:creationId xmlns:a16="http://schemas.microsoft.com/office/drawing/2014/main" id="{3F6F8CD5-8E97-4250-ADB7-F6F6384194CB}"/>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7" name="CaixaDeTexto 2546">
          <a:extLst>
            <a:ext uri="{FF2B5EF4-FFF2-40B4-BE49-F238E27FC236}">
              <a16:creationId xmlns:a16="http://schemas.microsoft.com/office/drawing/2014/main" id="{D11EBF53-2D73-4F92-9D75-B4124A48A7E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8" name="CaixaDeTexto 2547">
          <a:extLst>
            <a:ext uri="{FF2B5EF4-FFF2-40B4-BE49-F238E27FC236}">
              <a16:creationId xmlns:a16="http://schemas.microsoft.com/office/drawing/2014/main" id="{98B9A99D-B5BC-455F-8E13-37045D29458C}"/>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49" name="CaixaDeTexto 2548">
          <a:extLst>
            <a:ext uri="{FF2B5EF4-FFF2-40B4-BE49-F238E27FC236}">
              <a16:creationId xmlns:a16="http://schemas.microsoft.com/office/drawing/2014/main" id="{56544960-7DC1-4756-BD2C-4E65AC613F4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50" name="CaixaDeTexto 2549">
          <a:extLst>
            <a:ext uri="{FF2B5EF4-FFF2-40B4-BE49-F238E27FC236}">
              <a16:creationId xmlns:a16="http://schemas.microsoft.com/office/drawing/2014/main" id="{AF5541B5-106D-45D7-B011-CA062D95C445}"/>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492</xdr:row>
      <xdr:rowOff>0</xdr:rowOff>
    </xdr:from>
    <xdr:ext cx="184731" cy="264560"/>
    <xdr:sp macro="" textlink="">
      <xdr:nvSpPr>
        <xdr:cNvPr id="2551" name="CaixaDeTexto 2550">
          <a:extLst>
            <a:ext uri="{FF2B5EF4-FFF2-40B4-BE49-F238E27FC236}">
              <a16:creationId xmlns:a16="http://schemas.microsoft.com/office/drawing/2014/main" id="{A94146C7-C04A-4939-A1D6-2BECBD3E4850}"/>
            </a:ext>
          </a:extLst>
        </xdr:cNvPr>
        <xdr:cNvSpPr txBox="1"/>
      </xdr:nvSpPr>
      <xdr:spPr>
        <a:xfrm>
          <a:off x="5275157" y="985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493</xdr:row>
      <xdr:rowOff>0</xdr:rowOff>
    </xdr:from>
    <xdr:ext cx="184731" cy="264560"/>
    <xdr:sp macro="" textlink="">
      <xdr:nvSpPr>
        <xdr:cNvPr id="2552" name="CaixaDeTexto 2551">
          <a:extLst>
            <a:ext uri="{FF2B5EF4-FFF2-40B4-BE49-F238E27FC236}">
              <a16:creationId xmlns:a16="http://schemas.microsoft.com/office/drawing/2014/main" id="{0A05850E-3E4F-4203-AA0C-6B4CA47FCFEE}"/>
            </a:ext>
          </a:extLst>
        </xdr:cNvPr>
        <xdr:cNvSpPr txBox="1"/>
      </xdr:nvSpPr>
      <xdr:spPr>
        <a:xfrm>
          <a:off x="5275157" y="987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3" name="CaixaDeTexto 2552">
          <a:extLst>
            <a:ext uri="{FF2B5EF4-FFF2-40B4-BE49-F238E27FC236}">
              <a16:creationId xmlns:a16="http://schemas.microsoft.com/office/drawing/2014/main" id="{B6496245-1BCF-48DC-9D2E-9BE5A66B540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4" name="CaixaDeTexto 2553">
          <a:extLst>
            <a:ext uri="{FF2B5EF4-FFF2-40B4-BE49-F238E27FC236}">
              <a16:creationId xmlns:a16="http://schemas.microsoft.com/office/drawing/2014/main" id="{B4EEB47E-B3BA-41F3-ADE9-646174BB47B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5" name="CaixaDeTexto 2554">
          <a:extLst>
            <a:ext uri="{FF2B5EF4-FFF2-40B4-BE49-F238E27FC236}">
              <a16:creationId xmlns:a16="http://schemas.microsoft.com/office/drawing/2014/main" id="{DF63B0C5-7927-4346-B726-114DFE36F83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6" name="CaixaDeTexto 2555">
          <a:extLst>
            <a:ext uri="{FF2B5EF4-FFF2-40B4-BE49-F238E27FC236}">
              <a16:creationId xmlns:a16="http://schemas.microsoft.com/office/drawing/2014/main" id="{08CCBC11-B308-49F2-917F-269F0F69438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7" name="CaixaDeTexto 2556">
          <a:extLst>
            <a:ext uri="{FF2B5EF4-FFF2-40B4-BE49-F238E27FC236}">
              <a16:creationId xmlns:a16="http://schemas.microsoft.com/office/drawing/2014/main" id="{B2A8B3CB-F1B7-4A1B-81D7-A89683BBD7F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8" name="CaixaDeTexto 2557">
          <a:extLst>
            <a:ext uri="{FF2B5EF4-FFF2-40B4-BE49-F238E27FC236}">
              <a16:creationId xmlns:a16="http://schemas.microsoft.com/office/drawing/2014/main" id="{1E71A9E3-8397-46C7-A517-D8D2322304B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59" name="CaixaDeTexto 2558">
          <a:extLst>
            <a:ext uri="{FF2B5EF4-FFF2-40B4-BE49-F238E27FC236}">
              <a16:creationId xmlns:a16="http://schemas.microsoft.com/office/drawing/2014/main" id="{0D587CD1-0DE4-4746-A177-45D8332547B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0" name="CaixaDeTexto 2559">
          <a:extLst>
            <a:ext uri="{FF2B5EF4-FFF2-40B4-BE49-F238E27FC236}">
              <a16:creationId xmlns:a16="http://schemas.microsoft.com/office/drawing/2014/main" id="{D9632DE0-E889-41EF-B62F-FD7AAA8B50E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1" name="CaixaDeTexto 2560">
          <a:extLst>
            <a:ext uri="{FF2B5EF4-FFF2-40B4-BE49-F238E27FC236}">
              <a16:creationId xmlns:a16="http://schemas.microsoft.com/office/drawing/2014/main" id="{E08CEBC0-96A0-4A2A-A294-352BA35128A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2" name="CaixaDeTexto 2561">
          <a:extLst>
            <a:ext uri="{FF2B5EF4-FFF2-40B4-BE49-F238E27FC236}">
              <a16:creationId xmlns:a16="http://schemas.microsoft.com/office/drawing/2014/main" id="{3AC98559-1C73-4C22-9A10-F62026C42F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3" name="CaixaDeTexto 2562">
          <a:extLst>
            <a:ext uri="{FF2B5EF4-FFF2-40B4-BE49-F238E27FC236}">
              <a16:creationId xmlns:a16="http://schemas.microsoft.com/office/drawing/2014/main" id="{06F7A55E-C453-4695-A309-3470D57F058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4" name="CaixaDeTexto 2563">
          <a:extLst>
            <a:ext uri="{FF2B5EF4-FFF2-40B4-BE49-F238E27FC236}">
              <a16:creationId xmlns:a16="http://schemas.microsoft.com/office/drawing/2014/main" id="{54656DD3-7B3F-451A-BA8E-865233E57FA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5" name="CaixaDeTexto 2564">
          <a:extLst>
            <a:ext uri="{FF2B5EF4-FFF2-40B4-BE49-F238E27FC236}">
              <a16:creationId xmlns:a16="http://schemas.microsoft.com/office/drawing/2014/main" id="{7DCE4BFF-81D1-4A5B-BC32-642EEEEC5B2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6" name="CaixaDeTexto 2565">
          <a:extLst>
            <a:ext uri="{FF2B5EF4-FFF2-40B4-BE49-F238E27FC236}">
              <a16:creationId xmlns:a16="http://schemas.microsoft.com/office/drawing/2014/main" id="{88AF230E-E205-4FE7-95B1-3CF4367E141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7" name="CaixaDeTexto 2566">
          <a:extLst>
            <a:ext uri="{FF2B5EF4-FFF2-40B4-BE49-F238E27FC236}">
              <a16:creationId xmlns:a16="http://schemas.microsoft.com/office/drawing/2014/main" id="{6DA840BA-120C-4609-B02E-1DDE3F31234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8" name="CaixaDeTexto 2567">
          <a:extLst>
            <a:ext uri="{FF2B5EF4-FFF2-40B4-BE49-F238E27FC236}">
              <a16:creationId xmlns:a16="http://schemas.microsoft.com/office/drawing/2014/main" id="{718EB705-3EA7-4C38-8AEF-CAE408D1F47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69" name="CaixaDeTexto 2568">
          <a:extLst>
            <a:ext uri="{FF2B5EF4-FFF2-40B4-BE49-F238E27FC236}">
              <a16:creationId xmlns:a16="http://schemas.microsoft.com/office/drawing/2014/main" id="{B86D3540-2521-4395-9D89-29BF84B07A2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0" name="CaixaDeTexto 2569">
          <a:extLst>
            <a:ext uri="{FF2B5EF4-FFF2-40B4-BE49-F238E27FC236}">
              <a16:creationId xmlns:a16="http://schemas.microsoft.com/office/drawing/2014/main" id="{13172E79-3EAD-489A-8914-BE750013537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1" name="CaixaDeTexto 2570">
          <a:extLst>
            <a:ext uri="{FF2B5EF4-FFF2-40B4-BE49-F238E27FC236}">
              <a16:creationId xmlns:a16="http://schemas.microsoft.com/office/drawing/2014/main" id="{E8111CB4-A48D-4C40-B80A-2FE6E4950F3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2" name="CaixaDeTexto 2571">
          <a:extLst>
            <a:ext uri="{FF2B5EF4-FFF2-40B4-BE49-F238E27FC236}">
              <a16:creationId xmlns:a16="http://schemas.microsoft.com/office/drawing/2014/main" id="{6EBEC82C-BDC1-48C1-861B-283CEAE4AA8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3" name="CaixaDeTexto 2572">
          <a:extLst>
            <a:ext uri="{FF2B5EF4-FFF2-40B4-BE49-F238E27FC236}">
              <a16:creationId xmlns:a16="http://schemas.microsoft.com/office/drawing/2014/main" id="{46C62962-051B-4A4B-A2C5-686E65030EB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4" name="CaixaDeTexto 2573">
          <a:extLst>
            <a:ext uri="{FF2B5EF4-FFF2-40B4-BE49-F238E27FC236}">
              <a16:creationId xmlns:a16="http://schemas.microsoft.com/office/drawing/2014/main" id="{03C65C8C-A4D4-4F91-B83A-DF647F872C2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5" name="CaixaDeTexto 2574">
          <a:extLst>
            <a:ext uri="{FF2B5EF4-FFF2-40B4-BE49-F238E27FC236}">
              <a16:creationId xmlns:a16="http://schemas.microsoft.com/office/drawing/2014/main" id="{D2575D2B-A75D-48A5-9B00-8F5801BD3CA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6" name="CaixaDeTexto 2575">
          <a:extLst>
            <a:ext uri="{FF2B5EF4-FFF2-40B4-BE49-F238E27FC236}">
              <a16:creationId xmlns:a16="http://schemas.microsoft.com/office/drawing/2014/main" id="{2AFA3A5E-3AA4-48A0-B807-41790D224E0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7" name="CaixaDeTexto 2576">
          <a:extLst>
            <a:ext uri="{FF2B5EF4-FFF2-40B4-BE49-F238E27FC236}">
              <a16:creationId xmlns:a16="http://schemas.microsoft.com/office/drawing/2014/main" id="{49A677F6-0529-45CF-A64E-EB9FDCC04D6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8" name="CaixaDeTexto 2577">
          <a:extLst>
            <a:ext uri="{FF2B5EF4-FFF2-40B4-BE49-F238E27FC236}">
              <a16:creationId xmlns:a16="http://schemas.microsoft.com/office/drawing/2014/main" id="{674314A7-6E1A-426E-BCA7-AF56560B921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79" name="CaixaDeTexto 2578">
          <a:extLst>
            <a:ext uri="{FF2B5EF4-FFF2-40B4-BE49-F238E27FC236}">
              <a16:creationId xmlns:a16="http://schemas.microsoft.com/office/drawing/2014/main" id="{5DD4DCE2-0C4E-4726-9A56-3C95A7B1F15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0" name="CaixaDeTexto 2579">
          <a:extLst>
            <a:ext uri="{FF2B5EF4-FFF2-40B4-BE49-F238E27FC236}">
              <a16:creationId xmlns:a16="http://schemas.microsoft.com/office/drawing/2014/main" id="{63091EA0-8BF4-4F50-947C-9767ED1C69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1" name="CaixaDeTexto 2580">
          <a:extLst>
            <a:ext uri="{FF2B5EF4-FFF2-40B4-BE49-F238E27FC236}">
              <a16:creationId xmlns:a16="http://schemas.microsoft.com/office/drawing/2014/main" id="{58ED9A92-0B61-429A-AE58-52866C698E6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2" name="CaixaDeTexto 2581">
          <a:extLst>
            <a:ext uri="{FF2B5EF4-FFF2-40B4-BE49-F238E27FC236}">
              <a16:creationId xmlns:a16="http://schemas.microsoft.com/office/drawing/2014/main" id="{F0B980E5-CC76-44F4-971D-9BC7E7E6E59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3" name="CaixaDeTexto 2582">
          <a:extLst>
            <a:ext uri="{FF2B5EF4-FFF2-40B4-BE49-F238E27FC236}">
              <a16:creationId xmlns:a16="http://schemas.microsoft.com/office/drawing/2014/main" id="{AD2E3B8E-7AC4-4ED4-8A21-59AB84A08ED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4" name="CaixaDeTexto 2583">
          <a:extLst>
            <a:ext uri="{FF2B5EF4-FFF2-40B4-BE49-F238E27FC236}">
              <a16:creationId xmlns:a16="http://schemas.microsoft.com/office/drawing/2014/main" id="{D3164750-71FE-4BFD-B1F9-79998CF3756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5" name="CaixaDeTexto 2584">
          <a:extLst>
            <a:ext uri="{FF2B5EF4-FFF2-40B4-BE49-F238E27FC236}">
              <a16:creationId xmlns:a16="http://schemas.microsoft.com/office/drawing/2014/main" id="{A7D13F12-B369-483D-BAF1-48A9944FCDC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6" name="CaixaDeTexto 2585">
          <a:extLst>
            <a:ext uri="{FF2B5EF4-FFF2-40B4-BE49-F238E27FC236}">
              <a16:creationId xmlns:a16="http://schemas.microsoft.com/office/drawing/2014/main" id="{7BB821E8-10BE-4E5C-9C4B-98EDC76B1CA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7" name="CaixaDeTexto 2586">
          <a:extLst>
            <a:ext uri="{FF2B5EF4-FFF2-40B4-BE49-F238E27FC236}">
              <a16:creationId xmlns:a16="http://schemas.microsoft.com/office/drawing/2014/main" id="{0EBC73AD-0EDD-4405-8D95-8BDF566CB6B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8" name="CaixaDeTexto 2587">
          <a:extLst>
            <a:ext uri="{FF2B5EF4-FFF2-40B4-BE49-F238E27FC236}">
              <a16:creationId xmlns:a16="http://schemas.microsoft.com/office/drawing/2014/main" id="{A1269D33-6316-42CA-B9FA-75CDB8E6086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89" name="CaixaDeTexto 2588">
          <a:extLst>
            <a:ext uri="{FF2B5EF4-FFF2-40B4-BE49-F238E27FC236}">
              <a16:creationId xmlns:a16="http://schemas.microsoft.com/office/drawing/2014/main" id="{D22D8247-1840-4A7B-A1B9-9DEEAF25EF9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0" name="CaixaDeTexto 2589">
          <a:extLst>
            <a:ext uri="{FF2B5EF4-FFF2-40B4-BE49-F238E27FC236}">
              <a16:creationId xmlns:a16="http://schemas.microsoft.com/office/drawing/2014/main" id="{AB109454-73CA-4D27-A5D6-DDA41D43562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1" name="CaixaDeTexto 2590">
          <a:extLst>
            <a:ext uri="{FF2B5EF4-FFF2-40B4-BE49-F238E27FC236}">
              <a16:creationId xmlns:a16="http://schemas.microsoft.com/office/drawing/2014/main" id="{0A39F629-7244-4E53-9620-02BAFC7BB87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2" name="CaixaDeTexto 2591">
          <a:extLst>
            <a:ext uri="{FF2B5EF4-FFF2-40B4-BE49-F238E27FC236}">
              <a16:creationId xmlns:a16="http://schemas.microsoft.com/office/drawing/2014/main" id="{AF03B26F-0B0B-4E15-B8C6-D0ED07B953F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3" name="CaixaDeTexto 2592">
          <a:extLst>
            <a:ext uri="{FF2B5EF4-FFF2-40B4-BE49-F238E27FC236}">
              <a16:creationId xmlns:a16="http://schemas.microsoft.com/office/drawing/2014/main" id="{A5512D95-DEFD-4470-8378-CFA8134B1CE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4" name="CaixaDeTexto 2593">
          <a:extLst>
            <a:ext uri="{FF2B5EF4-FFF2-40B4-BE49-F238E27FC236}">
              <a16:creationId xmlns:a16="http://schemas.microsoft.com/office/drawing/2014/main" id="{820A37C2-ECD6-4FF6-8B70-DBCB5578FCC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5" name="CaixaDeTexto 2594">
          <a:extLst>
            <a:ext uri="{FF2B5EF4-FFF2-40B4-BE49-F238E27FC236}">
              <a16:creationId xmlns:a16="http://schemas.microsoft.com/office/drawing/2014/main" id="{AADD0D07-3739-4CBA-AB57-714CE349BF5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6" name="CaixaDeTexto 2595">
          <a:extLst>
            <a:ext uri="{FF2B5EF4-FFF2-40B4-BE49-F238E27FC236}">
              <a16:creationId xmlns:a16="http://schemas.microsoft.com/office/drawing/2014/main" id="{08988290-DAEC-47E5-BB90-475CC6C0B39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597" name="CaixaDeTexto 2596">
          <a:extLst>
            <a:ext uri="{FF2B5EF4-FFF2-40B4-BE49-F238E27FC236}">
              <a16:creationId xmlns:a16="http://schemas.microsoft.com/office/drawing/2014/main" id="{AE5583FE-E724-4DC1-9BF3-26ACDFDB59F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598" name="CaixaDeTexto 2597">
          <a:extLst>
            <a:ext uri="{FF2B5EF4-FFF2-40B4-BE49-F238E27FC236}">
              <a16:creationId xmlns:a16="http://schemas.microsoft.com/office/drawing/2014/main" id="{C6DE24B1-4235-407E-855A-BE262C7D43D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599" name="CaixaDeTexto 2598">
          <a:extLst>
            <a:ext uri="{FF2B5EF4-FFF2-40B4-BE49-F238E27FC236}">
              <a16:creationId xmlns:a16="http://schemas.microsoft.com/office/drawing/2014/main" id="{76A25111-012F-413D-8E6F-8B9E4B2B214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00" name="CaixaDeTexto 2599">
          <a:extLst>
            <a:ext uri="{FF2B5EF4-FFF2-40B4-BE49-F238E27FC236}">
              <a16:creationId xmlns:a16="http://schemas.microsoft.com/office/drawing/2014/main" id="{8F8933D3-A109-4301-99D0-7064B241ACD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1" name="CaixaDeTexto 2600">
          <a:extLst>
            <a:ext uri="{FF2B5EF4-FFF2-40B4-BE49-F238E27FC236}">
              <a16:creationId xmlns:a16="http://schemas.microsoft.com/office/drawing/2014/main" id="{C6CFE758-D71E-41B8-B8B8-AD3DE510269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02" name="CaixaDeTexto 2601">
          <a:extLst>
            <a:ext uri="{FF2B5EF4-FFF2-40B4-BE49-F238E27FC236}">
              <a16:creationId xmlns:a16="http://schemas.microsoft.com/office/drawing/2014/main" id="{8244576B-B61F-46C5-90C3-1418F2F3CA8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3" name="CaixaDeTexto 2602">
          <a:extLst>
            <a:ext uri="{FF2B5EF4-FFF2-40B4-BE49-F238E27FC236}">
              <a16:creationId xmlns:a16="http://schemas.microsoft.com/office/drawing/2014/main" id="{0273C011-69D3-4B3E-80EB-20B09D5A7847}"/>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4" name="CaixaDeTexto 2603">
          <a:extLst>
            <a:ext uri="{FF2B5EF4-FFF2-40B4-BE49-F238E27FC236}">
              <a16:creationId xmlns:a16="http://schemas.microsoft.com/office/drawing/2014/main" id="{AB940187-2763-40D7-8FB4-AEB00E69464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5" name="CaixaDeTexto 2604">
          <a:extLst>
            <a:ext uri="{FF2B5EF4-FFF2-40B4-BE49-F238E27FC236}">
              <a16:creationId xmlns:a16="http://schemas.microsoft.com/office/drawing/2014/main" id="{BDCEA77B-665B-425E-A770-8817501C10A2}"/>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6" name="CaixaDeTexto 2605">
          <a:extLst>
            <a:ext uri="{FF2B5EF4-FFF2-40B4-BE49-F238E27FC236}">
              <a16:creationId xmlns:a16="http://schemas.microsoft.com/office/drawing/2014/main" id="{E05894EA-AFA0-43EE-B9F1-D700F82ECBB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7" name="CaixaDeTexto 2606">
          <a:extLst>
            <a:ext uri="{FF2B5EF4-FFF2-40B4-BE49-F238E27FC236}">
              <a16:creationId xmlns:a16="http://schemas.microsoft.com/office/drawing/2014/main" id="{411450ED-182C-45CC-A873-F6C4429A0C6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8" name="CaixaDeTexto 2607">
          <a:extLst>
            <a:ext uri="{FF2B5EF4-FFF2-40B4-BE49-F238E27FC236}">
              <a16:creationId xmlns:a16="http://schemas.microsoft.com/office/drawing/2014/main" id="{CE57C333-15D7-4DCA-AC21-FE314FEBECD8}"/>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09" name="CaixaDeTexto 2608">
          <a:extLst>
            <a:ext uri="{FF2B5EF4-FFF2-40B4-BE49-F238E27FC236}">
              <a16:creationId xmlns:a16="http://schemas.microsoft.com/office/drawing/2014/main" id="{1FAE4CAB-7199-49F9-B8EA-73D4E60D132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0" name="CaixaDeTexto 2609">
          <a:extLst>
            <a:ext uri="{FF2B5EF4-FFF2-40B4-BE49-F238E27FC236}">
              <a16:creationId xmlns:a16="http://schemas.microsoft.com/office/drawing/2014/main" id="{251133BA-88FC-45AA-8D0A-2CE763C8F44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1" name="CaixaDeTexto 2610">
          <a:extLst>
            <a:ext uri="{FF2B5EF4-FFF2-40B4-BE49-F238E27FC236}">
              <a16:creationId xmlns:a16="http://schemas.microsoft.com/office/drawing/2014/main" id="{BB5045CE-75AF-41C4-8A1E-0D629603219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2" name="CaixaDeTexto 2611">
          <a:extLst>
            <a:ext uri="{FF2B5EF4-FFF2-40B4-BE49-F238E27FC236}">
              <a16:creationId xmlns:a16="http://schemas.microsoft.com/office/drawing/2014/main" id="{626028B1-7D95-41DC-B542-1A378FE54CB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3" name="CaixaDeTexto 2612">
          <a:extLst>
            <a:ext uri="{FF2B5EF4-FFF2-40B4-BE49-F238E27FC236}">
              <a16:creationId xmlns:a16="http://schemas.microsoft.com/office/drawing/2014/main" id="{E5F23C85-DA0C-4E34-9F08-C44DE998FA3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4" name="CaixaDeTexto 2613">
          <a:extLst>
            <a:ext uri="{FF2B5EF4-FFF2-40B4-BE49-F238E27FC236}">
              <a16:creationId xmlns:a16="http://schemas.microsoft.com/office/drawing/2014/main" id="{1CE38205-02E3-4C79-8286-2D6F885E1B0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5" name="CaixaDeTexto 2614">
          <a:extLst>
            <a:ext uri="{FF2B5EF4-FFF2-40B4-BE49-F238E27FC236}">
              <a16:creationId xmlns:a16="http://schemas.microsoft.com/office/drawing/2014/main" id="{D269A065-0463-4EF3-8713-256452233A6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6" name="CaixaDeTexto 2615">
          <a:extLst>
            <a:ext uri="{FF2B5EF4-FFF2-40B4-BE49-F238E27FC236}">
              <a16:creationId xmlns:a16="http://schemas.microsoft.com/office/drawing/2014/main" id="{B683810F-D8C3-4BE3-875C-C3ECA42470C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7" name="CaixaDeTexto 2616">
          <a:extLst>
            <a:ext uri="{FF2B5EF4-FFF2-40B4-BE49-F238E27FC236}">
              <a16:creationId xmlns:a16="http://schemas.microsoft.com/office/drawing/2014/main" id="{288ACCC6-484E-4D73-A6FB-F6C4F0F32B2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8" name="CaixaDeTexto 2617">
          <a:extLst>
            <a:ext uri="{FF2B5EF4-FFF2-40B4-BE49-F238E27FC236}">
              <a16:creationId xmlns:a16="http://schemas.microsoft.com/office/drawing/2014/main" id="{F2DD31BA-34CA-4A8A-9EB5-E965CB112C9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19" name="CaixaDeTexto 2618">
          <a:extLst>
            <a:ext uri="{FF2B5EF4-FFF2-40B4-BE49-F238E27FC236}">
              <a16:creationId xmlns:a16="http://schemas.microsoft.com/office/drawing/2014/main" id="{C2F81D9D-1762-4334-B1F9-C6EDA8C7800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0" name="CaixaDeTexto 2619">
          <a:extLst>
            <a:ext uri="{FF2B5EF4-FFF2-40B4-BE49-F238E27FC236}">
              <a16:creationId xmlns:a16="http://schemas.microsoft.com/office/drawing/2014/main" id="{0E3FF950-CE42-406E-AED7-0435BF7C344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1" name="CaixaDeTexto 2620">
          <a:extLst>
            <a:ext uri="{FF2B5EF4-FFF2-40B4-BE49-F238E27FC236}">
              <a16:creationId xmlns:a16="http://schemas.microsoft.com/office/drawing/2014/main" id="{A5713C30-B9F5-4ACF-908B-9F1F14D9F3D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2" name="CaixaDeTexto 2621">
          <a:extLst>
            <a:ext uri="{FF2B5EF4-FFF2-40B4-BE49-F238E27FC236}">
              <a16:creationId xmlns:a16="http://schemas.microsoft.com/office/drawing/2014/main" id="{0FA19FCB-38B6-4981-9C1E-27A345EBE7E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3" name="CaixaDeTexto 2622">
          <a:extLst>
            <a:ext uri="{FF2B5EF4-FFF2-40B4-BE49-F238E27FC236}">
              <a16:creationId xmlns:a16="http://schemas.microsoft.com/office/drawing/2014/main" id="{6DCB0AC7-D239-4599-8A86-6015B2CE1B7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4" name="CaixaDeTexto 2623">
          <a:extLst>
            <a:ext uri="{FF2B5EF4-FFF2-40B4-BE49-F238E27FC236}">
              <a16:creationId xmlns:a16="http://schemas.microsoft.com/office/drawing/2014/main" id="{E86EF0F0-6C11-468A-BE8F-D409A6506AB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5" name="CaixaDeTexto 2624">
          <a:extLst>
            <a:ext uri="{FF2B5EF4-FFF2-40B4-BE49-F238E27FC236}">
              <a16:creationId xmlns:a16="http://schemas.microsoft.com/office/drawing/2014/main" id="{BA45E011-3B2D-4FC9-B415-4B5A1295CDE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6" name="CaixaDeTexto 2625">
          <a:extLst>
            <a:ext uri="{FF2B5EF4-FFF2-40B4-BE49-F238E27FC236}">
              <a16:creationId xmlns:a16="http://schemas.microsoft.com/office/drawing/2014/main" id="{AF1E5A09-15A1-442C-BE7E-3857B5929B1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7" name="CaixaDeTexto 2626">
          <a:extLst>
            <a:ext uri="{FF2B5EF4-FFF2-40B4-BE49-F238E27FC236}">
              <a16:creationId xmlns:a16="http://schemas.microsoft.com/office/drawing/2014/main" id="{6B914733-3542-4DE0-A74D-2728C66610C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8" name="CaixaDeTexto 2627">
          <a:extLst>
            <a:ext uri="{FF2B5EF4-FFF2-40B4-BE49-F238E27FC236}">
              <a16:creationId xmlns:a16="http://schemas.microsoft.com/office/drawing/2014/main" id="{5873849D-2C2D-44B5-8487-30462AB14C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29" name="CaixaDeTexto 2628">
          <a:extLst>
            <a:ext uri="{FF2B5EF4-FFF2-40B4-BE49-F238E27FC236}">
              <a16:creationId xmlns:a16="http://schemas.microsoft.com/office/drawing/2014/main" id="{8C1F9E52-87B0-4045-847D-DD9897A3BAB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0" name="CaixaDeTexto 2629">
          <a:extLst>
            <a:ext uri="{FF2B5EF4-FFF2-40B4-BE49-F238E27FC236}">
              <a16:creationId xmlns:a16="http://schemas.microsoft.com/office/drawing/2014/main" id="{9CC26B37-654D-4DAA-8E52-5238C58AF67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1" name="CaixaDeTexto 2630">
          <a:extLst>
            <a:ext uri="{FF2B5EF4-FFF2-40B4-BE49-F238E27FC236}">
              <a16:creationId xmlns:a16="http://schemas.microsoft.com/office/drawing/2014/main" id="{E65D9D93-8580-4A74-97AE-1579F0B280B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2" name="CaixaDeTexto 2631">
          <a:extLst>
            <a:ext uri="{FF2B5EF4-FFF2-40B4-BE49-F238E27FC236}">
              <a16:creationId xmlns:a16="http://schemas.microsoft.com/office/drawing/2014/main" id="{83F60D26-1052-40D2-9AB7-5B0C4AD744E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3" name="CaixaDeTexto 2632">
          <a:extLst>
            <a:ext uri="{FF2B5EF4-FFF2-40B4-BE49-F238E27FC236}">
              <a16:creationId xmlns:a16="http://schemas.microsoft.com/office/drawing/2014/main" id="{7503AE52-CB1F-4833-B089-651937D1031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4" name="CaixaDeTexto 2633">
          <a:extLst>
            <a:ext uri="{FF2B5EF4-FFF2-40B4-BE49-F238E27FC236}">
              <a16:creationId xmlns:a16="http://schemas.microsoft.com/office/drawing/2014/main" id="{AFE6D5D6-FA45-460C-BE31-38A90ABAFE1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5" name="CaixaDeTexto 2634">
          <a:extLst>
            <a:ext uri="{FF2B5EF4-FFF2-40B4-BE49-F238E27FC236}">
              <a16:creationId xmlns:a16="http://schemas.microsoft.com/office/drawing/2014/main" id="{8380A986-0131-481E-8FB7-64289526F95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6" name="CaixaDeTexto 2635">
          <a:extLst>
            <a:ext uri="{FF2B5EF4-FFF2-40B4-BE49-F238E27FC236}">
              <a16:creationId xmlns:a16="http://schemas.microsoft.com/office/drawing/2014/main" id="{149147A7-46A1-494B-8D16-E5053AF2D0E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7" name="CaixaDeTexto 2636">
          <a:extLst>
            <a:ext uri="{FF2B5EF4-FFF2-40B4-BE49-F238E27FC236}">
              <a16:creationId xmlns:a16="http://schemas.microsoft.com/office/drawing/2014/main" id="{D5D0EBE2-D0D5-4429-89AC-D2AE4BAA04D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8" name="CaixaDeTexto 2637">
          <a:extLst>
            <a:ext uri="{FF2B5EF4-FFF2-40B4-BE49-F238E27FC236}">
              <a16:creationId xmlns:a16="http://schemas.microsoft.com/office/drawing/2014/main" id="{02847929-365B-4B7D-BEAE-C45FE3711FD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39" name="CaixaDeTexto 2638">
          <a:extLst>
            <a:ext uri="{FF2B5EF4-FFF2-40B4-BE49-F238E27FC236}">
              <a16:creationId xmlns:a16="http://schemas.microsoft.com/office/drawing/2014/main" id="{66169988-CB19-4443-89BA-FFD18B7EAA7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0" name="CaixaDeTexto 2639">
          <a:extLst>
            <a:ext uri="{FF2B5EF4-FFF2-40B4-BE49-F238E27FC236}">
              <a16:creationId xmlns:a16="http://schemas.microsoft.com/office/drawing/2014/main" id="{29754A92-DF55-4CE7-9672-ECE1B199D7F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1" name="CaixaDeTexto 2640">
          <a:extLst>
            <a:ext uri="{FF2B5EF4-FFF2-40B4-BE49-F238E27FC236}">
              <a16:creationId xmlns:a16="http://schemas.microsoft.com/office/drawing/2014/main" id="{BB8A590A-D31E-4FCC-9A8B-45D56AF0DA2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2" name="CaixaDeTexto 2641">
          <a:extLst>
            <a:ext uri="{FF2B5EF4-FFF2-40B4-BE49-F238E27FC236}">
              <a16:creationId xmlns:a16="http://schemas.microsoft.com/office/drawing/2014/main" id="{54612E9E-F60C-437F-A5C3-12AD15F6083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3" name="CaixaDeTexto 2642">
          <a:extLst>
            <a:ext uri="{FF2B5EF4-FFF2-40B4-BE49-F238E27FC236}">
              <a16:creationId xmlns:a16="http://schemas.microsoft.com/office/drawing/2014/main" id="{09516591-2EC0-4E07-A3FD-4A2D66FFC7D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4" name="CaixaDeTexto 2643">
          <a:extLst>
            <a:ext uri="{FF2B5EF4-FFF2-40B4-BE49-F238E27FC236}">
              <a16:creationId xmlns:a16="http://schemas.microsoft.com/office/drawing/2014/main" id="{D33C03BC-0691-47A1-93D7-E2ED1DFEED1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5" name="CaixaDeTexto 2644">
          <a:extLst>
            <a:ext uri="{FF2B5EF4-FFF2-40B4-BE49-F238E27FC236}">
              <a16:creationId xmlns:a16="http://schemas.microsoft.com/office/drawing/2014/main" id="{E23C7C65-86BD-4FCF-BEE3-86F3965AFDF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6" name="CaixaDeTexto 2645">
          <a:extLst>
            <a:ext uri="{FF2B5EF4-FFF2-40B4-BE49-F238E27FC236}">
              <a16:creationId xmlns:a16="http://schemas.microsoft.com/office/drawing/2014/main" id="{4E30B754-FE1E-4BB5-ACED-E11B20CB01D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7" name="CaixaDeTexto 2646">
          <a:extLst>
            <a:ext uri="{FF2B5EF4-FFF2-40B4-BE49-F238E27FC236}">
              <a16:creationId xmlns:a16="http://schemas.microsoft.com/office/drawing/2014/main" id="{41176249-F952-4EBD-88E7-BC6FA635E6F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8" name="CaixaDeTexto 2647">
          <a:extLst>
            <a:ext uri="{FF2B5EF4-FFF2-40B4-BE49-F238E27FC236}">
              <a16:creationId xmlns:a16="http://schemas.microsoft.com/office/drawing/2014/main" id="{4DE972CD-06E6-4827-A5D6-6130DEFB13D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49" name="CaixaDeTexto 2648">
          <a:extLst>
            <a:ext uri="{FF2B5EF4-FFF2-40B4-BE49-F238E27FC236}">
              <a16:creationId xmlns:a16="http://schemas.microsoft.com/office/drawing/2014/main" id="{D7D21082-3DD2-42C5-8DC8-E4DB373FB69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0" name="CaixaDeTexto 2649">
          <a:extLst>
            <a:ext uri="{FF2B5EF4-FFF2-40B4-BE49-F238E27FC236}">
              <a16:creationId xmlns:a16="http://schemas.microsoft.com/office/drawing/2014/main" id="{86985520-53E0-4151-BAC4-DF52CF9D8C4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1" name="CaixaDeTexto 2650">
          <a:extLst>
            <a:ext uri="{FF2B5EF4-FFF2-40B4-BE49-F238E27FC236}">
              <a16:creationId xmlns:a16="http://schemas.microsoft.com/office/drawing/2014/main" id="{0DC6D36A-2F41-41AB-9740-7672FE5BC37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2" name="CaixaDeTexto 2651">
          <a:extLst>
            <a:ext uri="{FF2B5EF4-FFF2-40B4-BE49-F238E27FC236}">
              <a16:creationId xmlns:a16="http://schemas.microsoft.com/office/drawing/2014/main" id="{F98A4D87-CA46-4650-B45B-70BAB7664A7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3" name="CaixaDeTexto 2652">
          <a:extLst>
            <a:ext uri="{FF2B5EF4-FFF2-40B4-BE49-F238E27FC236}">
              <a16:creationId xmlns:a16="http://schemas.microsoft.com/office/drawing/2014/main" id="{EBA96427-ECCE-4225-AEE4-469763A8C9C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4" name="CaixaDeTexto 2653">
          <a:extLst>
            <a:ext uri="{FF2B5EF4-FFF2-40B4-BE49-F238E27FC236}">
              <a16:creationId xmlns:a16="http://schemas.microsoft.com/office/drawing/2014/main" id="{AE27EE25-6400-41E4-B7B5-A9FF6A2BB7D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55" name="CaixaDeTexto 2654">
          <a:extLst>
            <a:ext uri="{FF2B5EF4-FFF2-40B4-BE49-F238E27FC236}">
              <a16:creationId xmlns:a16="http://schemas.microsoft.com/office/drawing/2014/main" id="{9787DE79-FAF2-4954-9759-7283A7F7AAAE}"/>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56" name="CaixaDeTexto 2655">
          <a:extLst>
            <a:ext uri="{FF2B5EF4-FFF2-40B4-BE49-F238E27FC236}">
              <a16:creationId xmlns:a16="http://schemas.microsoft.com/office/drawing/2014/main" id="{4274F849-FA42-4EBD-91A6-D807162893E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7" name="CaixaDeTexto 2656">
          <a:extLst>
            <a:ext uri="{FF2B5EF4-FFF2-40B4-BE49-F238E27FC236}">
              <a16:creationId xmlns:a16="http://schemas.microsoft.com/office/drawing/2014/main" id="{DBA3267D-926F-421C-860A-38DB44511AA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58" name="CaixaDeTexto 2657">
          <a:extLst>
            <a:ext uri="{FF2B5EF4-FFF2-40B4-BE49-F238E27FC236}">
              <a16:creationId xmlns:a16="http://schemas.microsoft.com/office/drawing/2014/main" id="{1526564F-4473-41E0-9096-BCB0759E83C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59" name="CaixaDeTexto 2658">
          <a:extLst>
            <a:ext uri="{FF2B5EF4-FFF2-40B4-BE49-F238E27FC236}">
              <a16:creationId xmlns:a16="http://schemas.microsoft.com/office/drawing/2014/main" id="{2E5C6C54-FE24-49EB-B3BC-42C42F884D1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0" name="CaixaDeTexto 2659">
          <a:extLst>
            <a:ext uri="{FF2B5EF4-FFF2-40B4-BE49-F238E27FC236}">
              <a16:creationId xmlns:a16="http://schemas.microsoft.com/office/drawing/2014/main" id="{595B8995-3C6A-4417-80C7-03A007FB174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1" name="CaixaDeTexto 2660">
          <a:extLst>
            <a:ext uri="{FF2B5EF4-FFF2-40B4-BE49-F238E27FC236}">
              <a16:creationId xmlns:a16="http://schemas.microsoft.com/office/drawing/2014/main" id="{A92356CA-712E-477C-863A-3EC15C7A6072}"/>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2" name="CaixaDeTexto 2661">
          <a:extLst>
            <a:ext uri="{FF2B5EF4-FFF2-40B4-BE49-F238E27FC236}">
              <a16:creationId xmlns:a16="http://schemas.microsoft.com/office/drawing/2014/main" id="{41A84BB0-D908-40D2-9BC5-F23D8641B60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3" name="CaixaDeTexto 2662">
          <a:extLst>
            <a:ext uri="{FF2B5EF4-FFF2-40B4-BE49-F238E27FC236}">
              <a16:creationId xmlns:a16="http://schemas.microsoft.com/office/drawing/2014/main" id="{8E98A5BC-0F1A-450F-A2C8-6B7045FCC9BF}"/>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4" name="CaixaDeTexto 2663">
          <a:extLst>
            <a:ext uri="{FF2B5EF4-FFF2-40B4-BE49-F238E27FC236}">
              <a16:creationId xmlns:a16="http://schemas.microsoft.com/office/drawing/2014/main" id="{47F9732F-7CCF-4227-821C-25AD1A42873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5" name="CaixaDeTexto 2664">
          <a:extLst>
            <a:ext uri="{FF2B5EF4-FFF2-40B4-BE49-F238E27FC236}">
              <a16:creationId xmlns:a16="http://schemas.microsoft.com/office/drawing/2014/main" id="{6D5A469B-0F8C-4BE8-BA0C-98CDABEEABA4}"/>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666" name="CaixaDeTexto 2665">
          <a:extLst>
            <a:ext uri="{FF2B5EF4-FFF2-40B4-BE49-F238E27FC236}">
              <a16:creationId xmlns:a16="http://schemas.microsoft.com/office/drawing/2014/main" id="{3B4E2B02-8C31-4709-9339-82DF108A4501}"/>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67" name="CaixaDeTexto 2666">
          <a:extLst>
            <a:ext uri="{FF2B5EF4-FFF2-40B4-BE49-F238E27FC236}">
              <a16:creationId xmlns:a16="http://schemas.microsoft.com/office/drawing/2014/main" id="{8C7E0D34-F993-4780-9791-B59EBDD9D93D}"/>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68" name="CaixaDeTexto 2667">
          <a:extLst>
            <a:ext uri="{FF2B5EF4-FFF2-40B4-BE49-F238E27FC236}">
              <a16:creationId xmlns:a16="http://schemas.microsoft.com/office/drawing/2014/main" id="{1EA258E9-7C06-44FC-BBB3-A390EDEEFB5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69" name="CaixaDeTexto 2668">
          <a:extLst>
            <a:ext uri="{FF2B5EF4-FFF2-40B4-BE49-F238E27FC236}">
              <a16:creationId xmlns:a16="http://schemas.microsoft.com/office/drawing/2014/main" id="{B32A0CE5-4D6B-4019-96CB-499CD955063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0" name="CaixaDeTexto 2669">
          <a:extLst>
            <a:ext uri="{FF2B5EF4-FFF2-40B4-BE49-F238E27FC236}">
              <a16:creationId xmlns:a16="http://schemas.microsoft.com/office/drawing/2014/main" id="{2A2872F7-00B4-4294-AA9D-9A83F528EAB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1" name="CaixaDeTexto 2670">
          <a:extLst>
            <a:ext uri="{FF2B5EF4-FFF2-40B4-BE49-F238E27FC236}">
              <a16:creationId xmlns:a16="http://schemas.microsoft.com/office/drawing/2014/main" id="{497419C7-7E07-450F-9F24-EBB3878F836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2" name="CaixaDeTexto 2671">
          <a:extLst>
            <a:ext uri="{FF2B5EF4-FFF2-40B4-BE49-F238E27FC236}">
              <a16:creationId xmlns:a16="http://schemas.microsoft.com/office/drawing/2014/main" id="{76C10CB4-98E7-4E2F-816E-5A59493D329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3" name="CaixaDeTexto 2672">
          <a:extLst>
            <a:ext uri="{FF2B5EF4-FFF2-40B4-BE49-F238E27FC236}">
              <a16:creationId xmlns:a16="http://schemas.microsoft.com/office/drawing/2014/main" id="{B092FBB8-56EE-44DD-AACD-2168AC67FB6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4" name="CaixaDeTexto 2673">
          <a:extLst>
            <a:ext uri="{FF2B5EF4-FFF2-40B4-BE49-F238E27FC236}">
              <a16:creationId xmlns:a16="http://schemas.microsoft.com/office/drawing/2014/main" id="{78BB35DC-1EB3-4A21-AB55-D7CAB15A014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5" name="CaixaDeTexto 2674">
          <a:extLst>
            <a:ext uri="{FF2B5EF4-FFF2-40B4-BE49-F238E27FC236}">
              <a16:creationId xmlns:a16="http://schemas.microsoft.com/office/drawing/2014/main" id="{CBC5D2E4-F5BE-4263-9E30-BF9CAAB36AD0}"/>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6" name="CaixaDeTexto 2675">
          <a:extLst>
            <a:ext uri="{FF2B5EF4-FFF2-40B4-BE49-F238E27FC236}">
              <a16:creationId xmlns:a16="http://schemas.microsoft.com/office/drawing/2014/main" id="{3984DC09-A827-4A36-9840-DB645177844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7" name="CaixaDeTexto 2676">
          <a:extLst>
            <a:ext uri="{FF2B5EF4-FFF2-40B4-BE49-F238E27FC236}">
              <a16:creationId xmlns:a16="http://schemas.microsoft.com/office/drawing/2014/main" id="{ECB5C250-4098-4FBA-A48B-390CD56F243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8" name="CaixaDeTexto 2677">
          <a:extLst>
            <a:ext uri="{FF2B5EF4-FFF2-40B4-BE49-F238E27FC236}">
              <a16:creationId xmlns:a16="http://schemas.microsoft.com/office/drawing/2014/main" id="{C551EC72-68B5-4E52-9667-65775EA7515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79" name="CaixaDeTexto 2678">
          <a:extLst>
            <a:ext uri="{FF2B5EF4-FFF2-40B4-BE49-F238E27FC236}">
              <a16:creationId xmlns:a16="http://schemas.microsoft.com/office/drawing/2014/main" id="{C975B8B0-C60E-4FE0-B2C7-2D9C5F991CC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0" name="CaixaDeTexto 2679">
          <a:extLst>
            <a:ext uri="{FF2B5EF4-FFF2-40B4-BE49-F238E27FC236}">
              <a16:creationId xmlns:a16="http://schemas.microsoft.com/office/drawing/2014/main" id="{CAFFE202-3679-4FF7-8F04-A453FE50697E}"/>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1" name="CaixaDeTexto 2680">
          <a:extLst>
            <a:ext uri="{FF2B5EF4-FFF2-40B4-BE49-F238E27FC236}">
              <a16:creationId xmlns:a16="http://schemas.microsoft.com/office/drawing/2014/main" id="{78E23849-9863-4890-B2D8-545BA4CF431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2" name="CaixaDeTexto 2681">
          <a:extLst>
            <a:ext uri="{FF2B5EF4-FFF2-40B4-BE49-F238E27FC236}">
              <a16:creationId xmlns:a16="http://schemas.microsoft.com/office/drawing/2014/main" id="{D44E22B1-7F45-400B-8E3F-149E3B29A8E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3" name="CaixaDeTexto 2682">
          <a:extLst>
            <a:ext uri="{FF2B5EF4-FFF2-40B4-BE49-F238E27FC236}">
              <a16:creationId xmlns:a16="http://schemas.microsoft.com/office/drawing/2014/main" id="{F2A07ACC-F058-4404-B6B0-C54261A733E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4" name="CaixaDeTexto 2683">
          <a:extLst>
            <a:ext uri="{FF2B5EF4-FFF2-40B4-BE49-F238E27FC236}">
              <a16:creationId xmlns:a16="http://schemas.microsoft.com/office/drawing/2014/main" id="{59A21653-C75C-433F-A0F8-C1EF8EDFAB6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5" name="CaixaDeTexto 2684">
          <a:extLst>
            <a:ext uri="{FF2B5EF4-FFF2-40B4-BE49-F238E27FC236}">
              <a16:creationId xmlns:a16="http://schemas.microsoft.com/office/drawing/2014/main" id="{5D4A308F-2DEB-4E28-BEE2-7E1BA6629C76}"/>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6" name="CaixaDeTexto 2685">
          <a:extLst>
            <a:ext uri="{FF2B5EF4-FFF2-40B4-BE49-F238E27FC236}">
              <a16:creationId xmlns:a16="http://schemas.microsoft.com/office/drawing/2014/main" id="{EFBB7235-A41E-409B-BB95-AD17544B050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7" name="CaixaDeTexto 2686">
          <a:extLst>
            <a:ext uri="{FF2B5EF4-FFF2-40B4-BE49-F238E27FC236}">
              <a16:creationId xmlns:a16="http://schemas.microsoft.com/office/drawing/2014/main" id="{2761CE8D-FDB8-4741-9EFE-0D19380EE54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8" name="CaixaDeTexto 2687">
          <a:extLst>
            <a:ext uri="{FF2B5EF4-FFF2-40B4-BE49-F238E27FC236}">
              <a16:creationId xmlns:a16="http://schemas.microsoft.com/office/drawing/2014/main" id="{A3BFA69F-98DB-4A34-9801-D6D9CD606CE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89" name="CaixaDeTexto 2688">
          <a:extLst>
            <a:ext uri="{FF2B5EF4-FFF2-40B4-BE49-F238E27FC236}">
              <a16:creationId xmlns:a16="http://schemas.microsoft.com/office/drawing/2014/main" id="{FD0A3DD6-2FA6-445E-AD46-3FD98CBF809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0" name="CaixaDeTexto 2689">
          <a:extLst>
            <a:ext uri="{FF2B5EF4-FFF2-40B4-BE49-F238E27FC236}">
              <a16:creationId xmlns:a16="http://schemas.microsoft.com/office/drawing/2014/main" id="{4F26A103-BB87-45BC-9BC4-66A9D09C01B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1" name="CaixaDeTexto 2690">
          <a:extLst>
            <a:ext uri="{FF2B5EF4-FFF2-40B4-BE49-F238E27FC236}">
              <a16:creationId xmlns:a16="http://schemas.microsoft.com/office/drawing/2014/main" id="{BA716254-0027-4E7C-96FB-FB70C427EA4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2" name="CaixaDeTexto 2691">
          <a:extLst>
            <a:ext uri="{FF2B5EF4-FFF2-40B4-BE49-F238E27FC236}">
              <a16:creationId xmlns:a16="http://schemas.microsoft.com/office/drawing/2014/main" id="{6F70BD46-EE4C-4DB2-A598-9284EB8AEF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3" name="CaixaDeTexto 2692">
          <a:extLst>
            <a:ext uri="{FF2B5EF4-FFF2-40B4-BE49-F238E27FC236}">
              <a16:creationId xmlns:a16="http://schemas.microsoft.com/office/drawing/2014/main" id="{6C60E57C-8AFD-4EA6-95FE-F0567FA0D2E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4" name="CaixaDeTexto 2693">
          <a:extLst>
            <a:ext uri="{FF2B5EF4-FFF2-40B4-BE49-F238E27FC236}">
              <a16:creationId xmlns:a16="http://schemas.microsoft.com/office/drawing/2014/main" id="{9D248BD4-7780-4710-8D73-B4DB4577593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5" name="CaixaDeTexto 2694">
          <a:extLst>
            <a:ext uri="{FF2B5EF4-FFF2-40B4-BE49-F238E27FC236}">
              <a16:creationId xmlns:a16="http://schemas.microsoft.com/office/drawing/2014/main" id="{BB575080-A873-4256-BD6E-F321F4E8C1FF}"/>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6" name="CaixaDeTexto 2695">
          <a:extLst>
            <a:ext uri="{FF2B5EF4-FFF2-40B4-BE49-F238E27FC236}">
              <a16:creationId xmlns:a16="http://schemas.microsoft.com/office/drawing/2014/main" id="{607B02EE-A195-495D-85A7-8A267F74A6A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7" name="CaixaDeTexto 2696">
          <a:extLst>
            <a:ext uri="{FF2B5EF4-FFF2-40B4-BE49-F238E27FC236}">
              <a16:creationId xmlns:a16="http://schemas.microsoft.com/office/drawing/2014/main" id="{1AF86F08-55CA-43C7-AFC5-842311A8E78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8" name="CaixaDeTexto 2697">
          <a:extLst>
            <a:ext uri="{FF2B5EF4-FFF2-40B4-BE49-F238E27FC236}">
              <a16:creationId xmlns:a16="http://schemas.microsoft.com/office/drawing/2014/main" id="{717B277D-197F-4FD0-B0B6-8BE5F54108A9}"/>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699" name="CaixaDeTexto 2698">
          <a:extLst>
            <a:ext uri="{FF2B5EF4-FFF2-40B4-BE49-F238E27FC236}">
              <a16:creationId xmlns:a16="http://schemas.microsoft.com/office/drawing/2014/main" id="{21FB4D06-50C9-419F-9E95-8D745924C89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0" name="CaixaDeTexto 2699">
          <a:extLst>
            <a:ext uri="{FF2B5EF4-FFF2-40B4-BE49-F238E27FC236}">
              <a16:creationId xmlns:a16="http://schemas.microsoft.com/office/drawing/2014/main" id="{105E5AE8-9BE5-4227-BD8F-282A70D135DA}"/>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1" name="CaixaDeTexto 2700">
          <a:extLst>
            <a:ext uri="{FF2B5EF4-FFF2-40B4-BE49-F238E27FC236}">
              <a16:creationId xmlns:a16="http://schemas.microsoft.com/office/drawing/2014/main" id="{6214745E-573A-41A8-B63C-5BFFBC5019A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2" name="CaixaDeTexto 2701">
          <a:extLst>
            <a:ext uri="{FF2B5EF4-FFF2-40B4-BE49-F238E27FC236}">
              <a16:creationId xmlns:a16="http://schemas.microsoft.com/office/drawing/2014/main" id="{9243F4CD-C892-4AB0-BE8A-813D8453A5DC}"/>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3" name="CaixaDeTexto 2702">
          <a:extLst>
            <a:ext uri="{FF2B5EF4-FFF2-40B4-BE49-F238E27FC236}">
              <a16:creationId xmlns:a16="http://schemas.microsoft.com/office/drawing/2014/main" id="{64D4A103-6E36-4F8F-B693-7B8A5897F00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4" name="CaixaDeTexto 2703">
          <a:extLst>
            <a:ext uri="{FF2B5EF4-FFF2-40B4-BE49-F238E27FC236}">
              <a16:creationId xmlns:a16="http://schemas.microsoft.com/office/drawing/2014/main" id="{FA589A58-9399-4F38-B1A1-035B289463B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5" name="CaixaDeTexto 2704">
          <a:extLst>
            <a:ext uri="{FF2B5EF4-FFF2-40B4-BE49-F238E27FC236}">
              <a16:creationId xmlns:a16="http://schemas.microsoft.com/office/drawing/2014/main" id="{2203B472-C77B-48D1-9A0F-23E255544955}"/>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6" name="CaixaDeTexto 2705">
          <a:extLst>
            <a:ext uri="{FF2B5EF4-FFF2-40B4-BE49-F238E27FC236}">
              <a16:creationId xmlns:a16="http://schemas.microsoft.com/office/drawing/2014/main" id="{95AE0B32-BAF8-4BCD-81F7-68BF4B555E03}"/>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7" name="CaixaDeTexto 2706">
          <a:extLst>
            <a:ext uri="{FF2B5EF4-FFF2-40B4-BE49-F238E27FC236}">
              <a16:creationId xmlns:a16="http://schemas.microsoft.com/office/drawing/2014/main" id="{FCCB8E80-B489-4145-8B51-A0CBB80FCED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8" name="CaixaDeTexto 2707">
          <a:extLst>
            <a:ext uri="{FF2B5EF4-FFF2-40B4-BE49-F238E27FC236}">
              <a16:creationId xmlns:a16="http://schemas.microsoft.com/office/drawing/2014/main" id="{72D9EDCE-9D07-4C1A-8E25-E3C53F59B917}"/>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09" name="CaixaDeTexto 2708">
          <a:extLst>
            <a:ext uri="{FF2B5EF4-FFF2-40B4-BE49-F238E27FC236}">
              <a16:creationId xmlns:a16="http://schemas.microsoft.com/office/drawing/2014/main" id="{3450F72C-CE6A-44FD-BD29-F6676B6D6288}"/>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10" name="CaixaDeTexto 2709">
          <a:extLst>
            <a:ext uri="{FF2B5EF4-FFF2-40B4-BE49-F238E27FC236}">
              <a16:creationId xmlns:a16="http://schemas.microsoft.com/office/drawing/2014/main" id="{9404F103-035F-41E0-9F87-136EBEB9FFBB}"/>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11" name="CaixaDeTexto 2710">
          <a:extLst>
            <a:ext uri="{FF2B5EF4-FFF2-40B4-BE49-F238E27FC236}">
              <a16:creationId xmlns:a16="http://schemas.microsoft.com/office/drawing/2014/main" id="{1E3C8DC3-7411-4FA9-B3CC-9CF53CDFD591}"/>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12" name="CaixaDeTexto 2711">
          <a:extLst>
            <a:ext uri="{FF2B5EF4-FFF2-40B4-BE49-F238E27FC236}">
              <a16:creationId xmlns:a16="http://schemas.microsoft.com/office/drawing/2014/main" id="{48BCEB29-34D7-40BD-B62D-0230F1FA49BC}"/>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13" name="CaixaDeTexto 2712">
          <a:extLst>
            <a:ext uri="{FF2B5EF4-FFF2-40B4-BE49-F238E27FC236}">
              <a16:creationId xmlns:a16="http://schemas.microsoft.com/office/drawing/2014/main" id="{493CEAE7-13BB-4107-BEE9-80E37148E7D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14" name="CaixaDeTexto 2713">
          <a:extLst>
            <a:ext uri="{FF2B5EF4-FFF2-40B4-BE49-F238E27FC236}">
              <a16:creationId xmlns:a16="http://schemas.microsoft.com/office/drawing/2014/main" id="{A20AE6C6-90E7-4A03-A0B7-3C7114B63A72}"/>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15" name="CaixaDeTexto 2714">
          <a:extLst>
            <a:ext uri="{FF2B5EF4-FFF2-40B4-BE49-F238E27FC236}">
              <a16:creationId xmlns:a16="http://schemas.microsoft.com/office/drawing/2014/main" id="{08231A76-9DAC-43F4-A324-DEA256427690}"/>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494</xdr:row>
      <xdr:rowOff>0</xdr:rowOff>
    </xdr:from>
    <xdr:ext cx="184731" cy="264560"/>
    <xdr:sp macro="" textlink="">
      <xdr:nvSpPr>
        <xdr:cNvPr id="2716" name="CaixaDeTexto 2715">
          <a:extLst>
            <a:ext uri="{FF2B5EF4-FFF2-40B4-BE49-F238E27FC236}">
              <a16:creationId xmlns:a16="http://schemas.microsoft.com/office/drawing/2014/main" id="{FD1BF81D-F274-4E51-9032-39C897C8DDC4}"/>
            </a:ext>
          </a:extLst>
        </xdr:cNvPr>
        <xdr:cNvSpPr txBox="1"/>
      </xdr:nvSpPr>
      <xdr:spPr>
        <a:xfrm>
          <a:off x="5275157" y="989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17" name="CaixaDeTexto 2716">
          <a:extLst>
            <a:ext uri="{FF2B5EF4-FFF2-40B4-BE49-F238E27FC236}">
              <a16:creationId xmlns:a16="http://schemas.microsoft.com/office/drawing/2014/main" id="{9D593946-FF81-496E-BAEB-F83986A8D5B2}"/>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18" name="CaixaDeTexto 2717">
          <a:extLst>
            <a:ext uri="{FF2B5EF4-FFF2-40B4-BE49-F238E27FC236}">
              <a16:creationId xmlns:a16="http://schemas.microsoft.com/office/drawing/2014/main" id="{F9CA1115-0AA9-4BD7-BCB3-AE95048B8DE2}"/>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19" name="CaixaDeTexto 2718">
          <a:extLst>
            <a:ext uri="{FF2B5EF4-FFF2-40B4-BE49-F238E27FC236}">
              <a16:creationId xmlns:a16="http://schemas.microsoft.com/office/drawing/2014/main" id="{8AC097B7-FBF6-4225-B6E0-F8FAB4F9E885}"/>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20" name="CaixaDeTexto 2719">
          <a:extLst>
            <a:ext uri="{FF2B5EF4-FFF2-40B4-BE49-F238E27FC236}">
              <a16:creationId xmlns:a16="http://schemas.microsoft.com/office/drawing/2014/main" id="{74EB774A-6C79-420E-A5A9-5E2B28AB0B5D}"/>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21" name="CaixaDeTexto 2720">
          <a:extLst>
            <a:ext uri="{FF2B5EF4-FFF2-40B4-BE49-F238E27FC236}">
              <a16:creationId xmlns:a16="http://schemas.microsoft.com/office/drawing/2014/main" id="{804DFEFB-0209-4ED0-B204-B08E591784A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22" name="CaixaDeTexto 2721">
          <a:extLst>
            <a:ext uri="{FF2B5EF4-FFF2-40B4-BE49-F238E27FC236}">
              <a16:creationId xmlns:a16="http://schemas.microsoft.com/office/drawing/2014/main" id="{6C79C5FC-F315-4D42-9A2E-0250434220F6}"/>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495</xdr:row>
      <xdr:rowOff>0</xdr:rowOff>
    </xdr:from>
    <xdr:ext cx="184731" cy="264560"/>
    <xdr:sp macro="" textlink="">
      <xdr:nvSpPr>
        <xdr:cNvPr id="2723" name="CaixaDeTexto 2722">
          <a:extLst>
            <a:ext uri="{FF2B5EF4-FFF2-40B4-BE49-F238E27FC236}">
              <a16:creationId xmlns:a16="http://schemas.microsoft.com/office/drawing/2014/main" id="{A7A8E89D-8C49-4BFF-99C7-8678A6C892CB}"/>
            </a:ext>
          </a:extLst>
        </xdr:cNvPr>
        <xdr:cNvSpPr txBox="1"/>
      </xdr:nvSpPr>
      <xdr:spPr>
        <a:xfrm>
          <a:off x="5275157" y="991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54" name="CaixaDeTexto 1153">
          <a:extLst>
            <a:ext uri="{FF2B5EF4-FFF2-40B4-BE49-F238E27FC236}">
              <a16:creationId xmlns:a16="http://schemas.microsoft.com/office/drawing/2014/main" id="{57A4D7D7-247B-4389-8ACE-5E60ACBF77C5}"/>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55" name="CaixaDeTexto 1154">
          <a:extLst>
            <a:ext uri="{FF2B5EF4-FFF2-40B4-BE49-F238E27FC236}">
              <a16:creationId xmlns:a16="http://schemas.microsoft.com/office/drawing/2014/main" id="{81E40B81-E3B3-451C-AA30-1C567D37A007}"/>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56" name="CaixaDeTexto 1155">
          <a:extLst>
            <a:ext uri="{FF2B5EF4-FFF2-40B4-BE49-F238E27FC236}">
              <a16:creationId xmlns:a16="http://schemas.microsoft.com/office/drawing/2014/main" id="{C5BD012A-8812-440B-8AF0-A5B07AC07271}"/>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57" name="CaixaDeTexto 1156">
          <a:extLst>
            <a:ext uri="{FF2B5EF4-FFF2-40B4-BE49-F238E27FC236}">
              <a16:creationId xmlns:a16="http://schemas.microsoft.com/office/drawing/2014/main" id="{88EC8AE0-62F1-4D92-AADA-64381C20562B}"/>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58" name="CaixaDeTexto 1157">
          <a:extLst>
            <a:ext uri="{FF2B5EF4-FFF2-40B4-BE49-F238E27FC236}">
              <a16:creationId xmlns:a16="http://schemas.microsoft.com/office/drawing/2014/main" id="{A7BC074C-47EC-45AD-B20A-E7161ADD3DAD}"/>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59" name="CaixaDeTexto 1158">
          <a:extLst>
            <a:ext uri="{FF2B5EF4-FFF2-40B4-BE49-F238E27FC236}">
              <a16:creationId xmlns:a16="http://schemas.microsoft.com/office/drawing/2014/main" id="{6E45963B-7AD6-4A25-B860-AA4DE97A843C}"/>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60" name="CaixaDeTexto 1159">
          <a:extLst>
            <a:ext uri="{FF2B5EF4-FFF2-40B4-BE49-F238E27FC236}">
              <a16:creationId xmlns:a16="http://schemas.microsoft.com/office/drawing/2014/main" id="{EB5D54A0-DDB1-40B2-A074-0CED78344833}"/>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61" name="CaixaDeTexto 1160">
          <a:extLst>
            <a:ext uri="{FF2B5EF4-FFF2-40B4-BE49-F238E27FC236}">
              <a16:creationId xmlns:a16="http://schemas.microsoft.com/office/drawing/2014/main" id="{A0F2BC97-EC89-41BC-97C4-80E75FECBA00}"/>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62" name="CaixaDeTexto 1161">
          <a:extLst>
            <a:ext uri="{FF2B5EF4-FFF2-40B4-BE49-F238E27FC236}">
              <a16:creationId xmlns:a16="http://schemas.microsoft.com/office/drawing/2014/main" id="{0AA3BE89-809A-4DF7-A145-859E033FB059}"/>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63" name="CaixaDeTexto 1162">
          <a:extLst>
            <a:ext uri="{FF2B5EF4-FFF2-40B4-BE49-F238E27FC236}">
              <a16:creationId xmlns:a16="http://schemas.microsoft.com/office/drawing/2014/main" id="{00A373B1-7365-4793-BB40-BE9CC3820B97}"/>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64" name="CaixaDeTexto 1163">
          <a:extLst>
            <a:ext uri="{FF2B5EF4-FFF2-40B4-BE49-F238E27FC236}">
              <a16:creationId xmlns:a16="http://schemas.microsoft.com/office/drawing/2014/main" id="{C8C8CF3F-C4FD-44ED-B5CB-6C5EE494A3EF}"/>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350</xdr:row>
      <xdr:rowOff>0</xdr:rowOff>
    </xdr:from>
    <xdr:ext cx="184731" cy="264560"/>
    <xdr:sp macro="" textlink="">
      <xdr:nvSpPr>
        <xdr:cNvPr id="1165" name="CaixaDeTexto 1164">
          <a:extLst>
            <a:ext uri="{FF2B5EF4-FFF2-40B4-BE49-F238E27FC236}">
              <a16:creationId xmlns:a16="http://schemas.microsoft.com/office/drawing/2014/main" id="{C7502E45-54A1-43EC-AD60-3B096F6060C5}"/>
            </a:ext>
          </a:extLst>
        </xdr:cNvPr>
        <xdr:cNvSpPr txBox="1"/>
      </xdr:nvSpPr>
      <xdr:spPr>
        <a:xfrm>
          <a:off x="5278967" y="670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24" name="CaixaDeTexto 2723">
          <a:extLst>
            <a:ext uri="{FF2B5EF4-FFF2-40B4-BE49-F238E27FC236}">
              <a16:creationId xmlns:a16="http://schemas.microsoft.com/office/drawing/2014/main" id="{BC510E73-7F80-4213-8C15-88BEB3C514E9}"/>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25" name="CaixaDeTexto 2724">
          <a:extLst>
            <a:ext uri="{FF2B5EF4-FFF2-40B4-BE49-F238E27FC236}">
              <a16:creationId xmlns:a16="http://schemas.microsoft.com/office/drawing/2014/main" id="{E6CDC121-76D0-4C98-BF5B-8CB7CD67A044}"/>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26" name="CaixaDeTexto 2725">
          <a:extLst>
            <a:ext uri="{FF2B5EF4-FFF2-40B4-BE49-F238E27FC236}">
              <a16:creationId xmlns:a16="http://schemas.microsoft.com/office/drawing/2014/main" id="{9177EE41-BD92-4F36-BECB-8048F66A7A98}"/>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27" name="CaixaDeTexto 2726">
          <a:extLst>
            <a:ext uri="{FF2B5EF4-FFF2-40B4-BE49-F238E27FC236}">
              <a16:creationId xmlns:a16="http://schemas.microsoft.com/office/drawing/2014/main" id="{9778530F-C8B6-4C94-AEB9-26F6E1FD89DE}"/>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28" name="CaixaDeTexto 2727">
          <a:extLst>
            <a:ext uri="{FF2B5EF4-FFF2-40B4-BE49-F238E27FC236}">
              <a16:creationId xmlns:a16="http://schemas.microsoft.com/office/drawing/2014/main" id="{41B965CE-5638-44F6-9DA2-1A077A4D3A6C}"/>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29" name="CaixaDeTexto 2728">
          <a:extLst>
            <a:ext uri="{FF2B5EF4-FFF2-40B4-BE49-F238E27FC236}">
              <a16:creationId xmlns:a16="http://schemas.microsoft.com/office/drawing/2014/main" id="{863CFC9A-96E8-4477-891C-2788ABABD44D}"/>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30" name="CaixaDeTexto 2729">
          <a:extLst>
            <a:ext uri="{FF2B5EF4-FFF2-40B4-BE49-F238E27FC236}">
              <a16:creationId xmlns:a16="http://schemas.microsoft.com/office/drawing/2014/main" id="{2F2C2872-9155-4D79-874F-0D41AE342BA8}"/>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31" name="CaixaDeTexto 2730">
          <a:extLst>
            <a:ext uri="{FF2B5EF4-FFF2-40B4-BE49-F238E27FC236}">
              <a16:creationId xmlns:a16="http://schemas.microsoft.com/office/drawing/2014/main" id="{F8D17F33-AE13-44F2-8F40-C6DAD2AB8597}"/>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32" name="CaixaDeTexto 2731">
          <a:extLst>
            <a:ext uri="{FF2B5EF4-FFF2-40B4-BE49-F238E27FC236}">
              <a16:creationId xmlns:a16="http://schemas.microsoft.com/office/drawing/2014/main" id="{DCE5E5BC-0B74-40D9-B6EC-8410959A5A27}"/>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33" name="CaixaDeTexto 2732">
          <a:extLst>
            <a:ext uri="{FF2B5EF4-FFF2-40B4-BE49-F238E27FC236}">
              <a16:creationId xmlns:a16="http://schemas.microsoft.com/office/drawing/2014/main" id="{684199E1-40D8-483D-9F6B-9F8626D981C8}"/>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34" name="CaixaDeTexto 2733">
          <a:extLst>
            <a:ext uri="{FF2B5EF4-FFF2-40B4-BE49-F238E27FC236}">
              <a16:creationId xmlns:a16="http://schemas.microsoft.com/office/drawing/2014/main" id="{21D0B155-A87E-42D7-A4B0-C6B4531E42E7}"/>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382</xdr:row>
      <xdr:rowOff>0</xdr:rowOff>
    </xdr:from>
    <xdr:ext cx="184731" cy="264560"/>
    <xdr:sp macro="" textlink="">
      <xdr:nvSpPr>
        <xdr:cNvPr id="2735" name="CaixaDeTexto 2734">
          <a:extLst>
            <a:ext uri="{FF2B5EF4-FFF2-40B4-BE49-F238E27FC236}">
              <a16:creationId xmlns:a16="http://schemas.microsoft.com/office/drawing/2014/main" id="{983D6CA5-9841-4E00-B21F-3FFA12F71D2D}"/>
            </a:ext>
          </a:extLst>
        </xdr:cNvPr>
        <xdr:cNvSpPr txBox="1"/>
      </xdr:nvSpPr>
      <xdr:spPr>
        <a:xfrm>
          <a:off x="5278967" y="702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391</xdr:row>
      <xdr:rowOff>0</xdr:rowOff>
    </xdr:from>
    <xdr:ext cx="184731" cy="264560"/>
    <xdr:sp macro="" textlink="">
      <xdr:nvSpPr>
        <xdr:cNvPr id="2736" name="CaixaDeTexto 2735">
          <a:extLst>
            <a:ext uri="{FF2B5EF4-FFF2-40B4-BE49-F238E27FC236}">
              <a16:creationId xmlns:a16="http://schemas.microsoft.com/office/drawing/2014/main" id="{3CA61529-7992-4151-859A-A6B6FEDD5551}"/>
            </a:ext>
          </a:extLst>
        </xdr:cNvPr>
        <xdr:cNvSpPr txBox="1"/>
      </xdr:nvSpPr>
      <xdr:spPr>
        <a:xfrm>
          <a:off x="5278967" y="768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391</xdr:row>
      <xdr:rowOff>0</xdr:rowOff>
    </xdr:from>
    <xdr:ext cx="184731" cy="264560"/>
    <xdr:sp macro="" textlink="">
      <xdr:nvSpPr>
        <xdr:cNvPr id="2737" name="CaixaDeTexto 2736">
          <a:extLst>
            <a:ext uri="{FF2B5EF4-FFF2-40B4-BE49-F238E27FC236}">
              <a16:creationId xmlns:a16="http://schemas.microsoft.com/office/drawing/2014/main" id="{D3ACD6F3-C339-4B98-BC78-2F1B49A70AB3}"/>
            </a:ext>
          </a:extLst>
        </xdr:cNvPr>
        <xdr:cNvSpPr txBox="1"/>
      </xdr:nvSpPr>
      <xdr:spPr>
        <a:xfrm>
          <a:off x="5278967" y="768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391</xdr:row>
      <xdr:rowOff>0</xdr:rowOff>
    </xdr:from>
    <xdr:ext cx="184731" cy="264560"/>
    <xdr:sp macro="" textlink="">
      <xdr:nvSpPr>
        <xdr:cNvPr id="2738" name="CaixaDeTexto 2737">
          <a:extLst>
            <a:ext uri="{FF2B5EF4-FFF2-40B4-BE49-F238E27FC236}">
              <a16:creationId xmlns:a16="http://schemas.microsoft.com/office/drawing/2014/main" id="{313AED53-7DFA-46B6-ABCA-5B1B4306176B}"/>
            </a:ext>
          </a:extLst>
        </xdr:cNvPr>
        <xdr:cNvSpPr txBox="1"/>
      </xdr:nvSpPr>
      <xdr:spPr>
        <a:xfrm>
          <a:off x="5278967" y="768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391</xdr:row>
      <xdr:rowOff>0</xdr:rowOff>
    </xdr:from>
    <xdr:ext cx="184731" cy="264560"/>
    <xdr:sp macro="" textlink="">
      <xdr:nvSpPr>
        <xdr:cNvPr id="2739" name="CaixaDeTexto 2738">
          <a:extLst>
            <a:ext uri="{FF2B5EF4-FFF2-40B4-BE49-F238E27FC236}">
              <a16:creationId xmlns:a16="http://schemas.microsoft.com/office/drawing/2014/main" id="{5601B6ED-A264-411C-8F01-5D31591DE6BF}"/>
            </a:ext>
          </a:extLst>
        </xdr:cNvPr>
        <xdr:cNvSpPr txBox="1"/>
      </xdr:nvSpPr>
      <xdr:spPr>
        <a:xfrm>
          <a:off x="5278967" y="768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391</xdr:row>
      <xdr:rowOff>0</xdr:rowOff>
    </xdr:from>
    <xdr:ext cx="184731" cy="264560"/>
    <xdr:sp macro="" textlink="">
      <xdr:nvSpPr>
        <xdr:cNvPr id="2740" name="CaixaDeTexto 2739">
          <a:extLst>
            <a:ext uri="{FF2B5EF4-FFF2-40B4-BE49-F238E27FC236}">
              <a16:creationId xmlns:a16="http://schemas.microsoft.com/office/drawing/2014/main" id="{4AD418F3-A77B-4BB8-AFCE-7A2E0ACEEE45}"/>
            </a:ext>
          </a:extLst>
        </xdr:cNvPr>
        <xdr:cNvSpPr txBox="1"/>
      </xdr:nvSpPr>
      <xdr:spPr>
        <a:xfrm>
          <a:off x="5278967" y="768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391</xdr:row>
      <xdr:rowOff>0</xdr:rowOff>
    </xdr:from>
    <xdr:ext cx="184731" cy="264560"/>
    <xdr:sp macro="" textlink="">
      <xdr:nvSpPr>
        <xdr:cNvPr id="2741" name="CaixaDeTexto 2740">
          <a:extLst>
            <a:ext uri="{FF2B5EF4-FFF2-40B4-BE49-F238E27FC236}">
              <a16:creationId xmlns:a16="http://schemas.microsoft.com/office/drawing/2014/main" id="{31448DBC-107D-4680-B3F5-2F6901F925DB}"/>
            </a:ext>
          </a:extLst>
        </xdr:cNvPr>
        <xdr:cNvSpPr txBox="1"/>
      </xdr:nvSpPr>
      <xdr:spPr>
        <a:xfrm>
          <a:off x="5278967" y="768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2" name="CaixaDeTexto 2741">
          <a:extLst>
            <a:ext uri="{FF2B5EF4-FFF2-40B4-BE49-F238E27FC236}">
              <a16:creationId xmlns:a16="http://schemas.microsoft.com/office/drawing/2014/main" id="{8ED2D612-1BEF-4921-A499-EA79B3E86E9A}"/>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3" name="CaixaDeTexto 2742">
          <a:extLst>
            <a:ext uri="{FF2B5EF4-FFF2-40B4-BE49-F238E27FC236}">
              <a16:creationId xmlns:a16="http://schemas.microsoft.com/office/drawing/2014/main" id="{DBDC18F5-CF07-4BB0-BB99-932504F4CBBF}"/>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4" name="CaixaDeTexto 2743">
          <a:extLst>
            <a:ext uri="{FF2B5EF4-FFF2-40B4-BE49-F238E27FC236}">
              <a16:creationId xmlns:a16="http://schemas.microsoft.com/office/drawing/2014/main" id="{0FC0536A-FA90-42C3-9F10-F5510C0E8189}"/>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5" name="CaixaDeTexto 2744">
          <a:extLst>
            <a:ext uri="{FF2B5EF4-FFF2-40B4-BE49-F238E27FC236}">
              <a16:creationId xmlns:a16="http://schemas.microsoft.com/office/drawing/2014/main" id="{A3C65BC4-3AE4-4196-A939-CED5AB8BF408}"/>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6" name="CaixaDeTexto 2745">
          <a:extLst>
            <a:ext uri="{FF2B5EF4-FFF2-40B4-BE49-F238E27FC236}">
              <a16:creationId xmlns:a16="http://schemas.microsoft.com/office/drawing/2014/main" id="{A6FFA787-2BC4-41DA-A6D3-E9025A461267}"/>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7" name="CaixaDeTexto 2746">
          <a:extLst>
            <a:ext uri="{FF2B5EF4-FFF2-40B4-BE49-F238E27FC236}">
              <a16:creationId xmlns:a16="http://schemas.microsoft.com/office/drawing/2014/main" id="{7AD05247-861E-4484-AAFD-B1F8A4D7FE40}"/>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8" name="CaixaDeTexto 2747">
          <a:extLst>
            <a:ext uri="{FF2B5EF4-FFF2-40B4-BE49-F238E27FC236}">
              <a16:creationId xmlns:a16="http://schemas.microsoft.com/office/drawing/2014/main" id="{5261BC5B-3C99-46FD-AE8E-F96E91D8866D}"/>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49" name="CaixaDeTexto 2748">
          <a:extLst>
            <a:ext uri="{FF2B5EF4-FFF2-40B4-BE49-F238E27FC236}">
              <a16:creationId xmlns:a16="http://schemas.microsoft.com/office/drawing/2014/main" id="{09443596-EEF9-4E7C-80FB-0AD6B2BA0A66}"/>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50" name="CaixaDeTexto 2749">
          <a:extLst>
            <a:ext uri="{FF2B5EF4-FFF2-40B4-BE49-F238E27FC236}">
              <a16:creationId xmlns:a16="http://schemas.microsoft.com/office/drawing/2014/main" id="{AD13BA7B-E386-4BCA-8207-67942C651664}"/>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51" name="CaixaDeTexto 2750">
          <a:extLst>
            <a:ext uri="{FF2B5EF4-FFF2-40B4-BE49-F238E27FC236}">
              <a16:creationId xmlns:a16="http://schemas.microsoft.com/office/drawing/2014/main" id="{D1FB5EFF-DF85-4D75-AF98-DED861B60789}"/>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52" name="CaixaDeTexto 2751">
          <a:extLst>
            <a:ext uri="{FF2B5EF4-FFF2-40B4-BE49-F238E27FC236}">
              <a16:creationId xmlns:a16="http://schemas.microsoft.com/office/drawing/2014/main" id="{BA231AD3-B94C-4CCD-A2DA-0020FE825B96}"/>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390</xdr:row>
      <xdr:rowOff>0</xdr:rowOff>
    </xdr:from>
    <xdr:ext cx="184731" cy="264560"/>
    <xdr:sp macro="" textlink="">
      <xdr:nvSpPr>
        <xdr:cNvPr id="2753" name="CaixaDeTexto 2752">
          <a:extLst>
            <a:ext uri="{FF2B5EF4-FFF2-40B4-BE49-F238E27FC236}">
              <a16:creationId xmlns:a16="http://schemas.microsoft.com/office/drawing/2014/main" id="{98FF8505-34A5-415B-93C2-110D6DE4AD02}"/>
            </a:ext>
          </a:extLst>
        </xdr:cNvPr>
        <xdr:cNvSpPr txBox="1"/>
      </xdr:nvSpPr>
      <xdr:spPr>
        <a:xfrm>
          <a:off x="5278967" y="766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54" name="CaixaDeTexto 2753">
          <a:extLst>
            <a:ext uri="{FF2B5EF4-FFF2-40B4-BE49-F238E27FC236}">
              <a16:creationId xmlns:a16="http://schemas.microsoft.com/office/drawing/2014/main" id="{9DF32452-0C2F-4F3E-BE7E-B6905CAAA099}"/>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55" name="CaixaDeTexto 2754">
          <a:extLst>
            <a:ext uri="{FF2B5EF4-FFF2-40B4-BE49-F238E27FC236}">
              <a16:creationId xmlns:a16="http://schemas.microsoft.com/office/drawing/2014/main" id="{018C7C46-0B1C-4B5C-AD50-4BAF2FB1E9AE}"/>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56" name="CaixaDeTexto 2755">
          <a:extLst>
            <a:ext uri="{FF2B5EF4-FFF2-40B4-BE49-F238E27FC236}">
              <a16:creationId xmlns:a16="http://schemas.microsoft.com/office/drawing/2014/main" id="{69FA8D7E-917D-4E1D-8924-4AC32EC25697}"/>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57" name="CaixaDeTexto 2756">
          <a:extLst>
            <a:ext uri="{FF2B5EF4-FFF2-40B4-BE49-F238E27FC236}">
              <a16:creationId xmlns:a16="http://schemas.microsoft.com/office/drawing/2014/main" id="{92331188-AF40-4F1E-97BC-F31CD21FF340}"/>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58" name="CaixaDeTexto 2757">
          <a:extLst>
            <a:ext uri="{FF2B5EF4-FFF2-40B4-BE49-F238E27FC236}">
              <a16:creationId xmlns:a16="http://schemas.microsoft.com/office/drawing/2014/main" id="{4477B1E3-2E3F-48CB-82F3-02E8BB75444E}"/>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59" name="CaixaDeTexto 2758">
          <a:extLst>
            <a:ext uri="{FF2B5EF4-FFF2-40B4-BE49-F238E27FC236}">
              <a16:creationId xmlns:a16="http://schemas.microsoft.com/office/drawing/2014/main" id="{3135F183-A6C0-4794-A472-DF44141217D4}"/>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60" name="CaixaDeTexto 2759">
          <a:extLst>
            <a:ext uri="{FF2B5EF4-FFF2-40B4-BE49-F238E27FC236}">
              <a16:creationId xmlns:a16="http://schemas.microsoft.com/office/drawing/2014/main" id="{C7B99E26-C3F6-4806-B978-FEC721AE6837}"/>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61" name="CaixaDeTexto 2760">
          <a:extLst>
            <a:ext uri="{FF2B5EF4-FFF2-40B4-BE49-F238E27FC236}">
              <a16:creationId xmlns:a16="http://schemas.microsoft.com/office/drawing/2014/main" id="{C04784BB-6B94-40E1-B87B-FBC26B6217D4}"/>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62" name="CaixaDeTexto 2761">
          <a:extLst>
            <a:ext uri="{FF2B5EF4-FFF2-40B4-BE49-F238E27FC236}">
              <a16:creationId xmlns:a16="http://schemas.microsoft.com/office/drawing/2014/main" id="{DE71DBB0-7453-49BF-97C2-1F65EF3D3DE1}"/>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63" name="CaixaDeTexto 2762">
          <a:extLst>
            <a:ext uri="{FF2B5EF4-FFF2-40B4-BE49-F238E27FC236}">
              <a16:creationId xmlns:a16="http://schemas.microsoft.com/office/drawing/2014/main" id="{4B658AA6-0536-4A42-9629-E1120CB0BA88}"/>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64" name="CaixaDeTexto 2763">
          <a:extLst>
            <a:ext uri="{FF2B5EF4-FFF2-40B4-BE49-F238E27FC236}">
              <a16:creationId xmlns:a16="http://schemas.microsoft.com/office/drawing/2014/main" id="{8AF1BD7E-EE67-4C6B-A9E0-08D534466587}"/>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65" name="CaixaDeTexto 2764">
          <a:extLst>
            <a:ext uri="{FF2B5EF4-FFF2-40B4-BE49-F238E27FC236}">
              <a16:creationId xmlns:a16="http://schemas.microsoft.com/office/drawing/2014/main" id="{447A3889-A2EA-444F-A713-6F747E69A3A6}"/>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400</xdr:row>
      <xdr:rowOff>0</xdr:rowOff>
    </xdr:from>
    <xdr:ext cx="184731" cy="264560"/>
    <xdr:sp macro="" textlink="">
      <xdr:nvSpPr>
        <xdr:cNvPr id="2766" name="CaixaDeTexto 2765">
          <a:extLst>
            <a:ext uri="{FF2B5EF4-FFF2-40B4-BE49-F238E27FC236}">
              <a16:creationId xmlns:a16="http://schemas.microsoft.com/office/drawing/2014/main" id="{BC0F4C2F-3AC7-4E56-8497-040E10472E33}"/>
            </a:ext>
          </a:extLst>
        </xdr:cNvPr>
        <xdr:cNvSpPr txBox="1"/>
      </xdr:nvSpPr>
      <xdr:spPr>
        <a:xfrm>
          <a:off x="5278967" y="784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400</xdr:row>
      <xdr:rowOff>0</xdr:rowOff>
    </xdr:from>
    <xdr:ext cx="184731" cy="264560"/>
    <xdr:sp macro="" textlink="">
      <xdr:nvSpPr>
        <xdr:cNvPr id="2767" name="CaixaDeTexto 2766">
          <a:extLst>
            <a:ext uri="{FF2B5EF4-FFF2-40B4-BE49-F238E27FC236}">
              <a16:creationId xmlns:a16="http://schemas.microsoft.com/office/drawing/2014/main" id="{202C7C8A-89C1-4D45-A93B-0F233EF4B85F}"/>
            </a:ext>
          </a:extLst>
        </xdr:cNvPr>
        <xdr:cNvSpPr txBox="1"/>
      </xdr:nvSpPr>
      <xdr:spPr>
        <a:xfrm>
          <a:off x="5278967" y="784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400</xdr:row>
      <xdr:rowOff>0</xdr:rowOff>
    </xdr:from>
    <xdr:ext cx="184731" cy="264560"/>
    <xdr:sp macro="" textlink="">
      <xdr:nvSpPr>
        <xdr:cNvPr id="2768" name="CaixaDeTexto 2767">
          <a:extLst>
            <a:ext uri="{FF2B5EF4-FFF2-40B4-BE49-F238E27FC236}">
              <a16:creationId xmlns:a16="http://schemas.microsoft.com/office/drawing/2014/main" id="{FF5ABA1C-3E2A-4F72-B6E6-6A944B156643}"/>
            </a:ext>
          </a:extLst>
        </xdr:cNvPr>
        <xdr:cNvSpPr txBox="1"/>
      </xdr:nvSpPr>
      <xdr:spPr>
        <a:xfrm>
          <a:off x="5278967" y="784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400</xdr:row>
      <xdr:rowOff>0</xdr:rowOff>
    </xdr:from>
    <xdr:ext cx="184731" cy="264560"/>
    <xdr:sp macro="" textlink="">
      <xdr:nvSpPr>
        <xdr:cNvPr id="2769" name="CaixaDeTexto 2768">
          <a:extLst>
            <a:ext uri="{FF2B5EF4-FFF2-40B4-BE49-F238E27FC236}">
              <a16:creationId xmlns:a16="http://schemas.microsoft.com/office/drawing/2014/main" id="{04C1B973-6FDB-48A4-AE34-4F9078DCB129}"/>
            </a:ext>
          </a:extLst>
        </xdr:cNvPr>
        <xdr:cNvSpPr txBox="1"/>
      </xdr:nvSpPr>
      <xdr:spPr>
        <a:xfrm>
          <a:off x="5278967" y="784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400</xdr:row>
      <xdr:rowOff>0</xdr:rowOff>
    </xdr:from>
    <xdr:ext cx="184731" cy="264560"/>
    <xdr:sp macro="" textlink="">
      <xdr:nvSpPr>
        <xdr:cNvPr id="2770" name="CaixaDeTexto 2769">
          <a:extLst>
            <a:ext uri="{FF2B5EF4-FFF2-40B4-BE49-F238E27FC236}">
              <a16:creationId xmlns:a16="http://schemas.microsoft.com/office/drawing/2014/main" id="{5EC4F1E6-144D-4EDD-86AD-97653BDA99BD}"/>
            </a:ext>
          </a:extLst>
        </xdr:cNvPr>
        <xdr:cNvSpPr txBox="1"/>
      </xdr:nvSpPr>
      <xdr:spPr>
        <a:xfrm>
          <a:off x="5278967" y="784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400</xdr:row>
      <xdr:rowOff>0</xdr:rowOff>
    </xdr:from>
    <xdr:ext cx="184731" cy="264560"/>
    <xdr:sp macro="" textlink="">
      <xdr:nvSpPr>
        <xdr:cNvPr id="2771" name="CaixaDeTexto 2770">
          <a:extLst>
            <a:ext uri="{FF2B5EF4-FFF2-40B4-BE49-F238E27FC236}">
              <a16:creationId xmlns:a16="http://schemas.microsoft.com/office/drawing/2014/main" id="{6C0ECF0C-D1D6-4386-896A-2FE0B5A8E021}"/>
            </a:ext>
          </a:extLst>
        </xdr:cNvPr>
        <xdr:cNvSpPr txBox="1"/>
      </xdr:nvSpPr>
      <xdr:spPr>
        <a:xfrm>
          <a:off x="5278967" y="784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2" name="CaixaDeTexto 2771">
          <a:extLst>
            <a:ext uri="{FF2B5EF4-FFF2-40B4-BE49-F238E27FC236}">
              <a16:creationId xmlns:a16="http://schemas.microsoft.com/office/drawing/2014/main" id="{7FA0CC6D-4F58-499A-8083-2060E48C9253}"/>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3" name="CaixaDeTexto 2772">
          <a:extLst>
            <a:ext uri="{FF2B5EF4-FFF2-40B4-BE49-F238E27FC236}">
              <a16:creationId xmlns:a16="http://schemas.microsoft.com/office/drawing/2014/main" id="{F53CA920-B41F-4DA9-93F9-D7C154C78252}"/>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4" name="CaixaDeTexto 2773">
          <a:extLst>
            <a:ext uri="{FF2B5EF4-FFF2-40B4-BE49-F238E27FC236}">
              <a16:creationId xmlns:a16="http://schemas.microsoft.com/office/drawing/2014/main" id="{59F680F8-0DFC-40A4-8163-464CFCF26E04}"/>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5" name="CaixaDeTexto 2774">
          <a:extLst>
            <a:ext uri="{FF2B5EF4-FFF2-40B4-BE49-F238E27FC236}">
              <a16:creationId xmlns:a16="http://schemas.microsoft.com/office/drawing/2014/main" id="{DF6FF17B-4631-4858-96DC-52870BFCEC5E}"/>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6" name="CaixaDeTexto 2775">
          <a:extLst>
            <a:ext uri="{FF2B5EF4-FFF2-40B4-BE49-F238E27FC236}">
              <a16:creationId xmlns:a16="http://schemas.microsoft.com/office/drawing/2014/main" id="{6ED20FBC-E3EF-4C4C-838D-870B9B870876}"/>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7" name="CaixaDeTexto 2776">
          <a:extLst>
            <a:ext uri="{FF2B5EF4-FFF2-40B4-BE49-F238E27FC236}">
              <a16:creationId xmlns:a16="http://schemas.microsoft.com/office/drawing/2014/main" id="{316C8A2E-DF81-4BA1-A85B-38B570BD77AC}"/>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8" name="CaixaDeTexto 2777">
          <a:extLst>
            <a:ext uri="{FF2B5EF4-FFF2-40B4-BE49-F238E27FC236}">
              <a16:creationId xmlns:a16="http://schemas.microsoft.com/office/drawing/2014/main" id="{EB189B56-F61B-4798-A68C-B8A4478EE67D}"/>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79" name="CaixaDeTexto 2778">
          <a:extLst>
            <a:ext uri="{FF2B5EF4-FFF2-40B4-BE49-F238E27FC236}">
              <a16:creationId xmlns:a16="http://schemas.microsoft.com/office/drawing/2014/main" id="{D56E768A-AE72-46E1-8E8A-A2F002C76C10}"/>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80" name="CaixaDeTexto 2779">
          <a:extLst>
            <a:ext uri="{FF2B5EF4-FFF2-40B4-BE49-F238E27FC236}">
              <a16:creationId xmlns:a16="http://schemas.microsoft.com/office/drawing/2014/main" id="{C201ABF5-0060-4B6A-A04B-F315CE47F05A}"/>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81" name="CaixaDeTexto 2780">
          <a:extLst>
            <a:ext uri="{FF2B5EF4-FFF2-40B4-BE49-F238E27FC236}">
              <a16:creationId xmlns:a16="http://schemas.microsoft.com/office/drawing/2014/main" id="{2C28AF05-FEF3-4996-B81E-0B0CA8223A34}"/>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82" name="CaixaDeTexto 2781">
          <a:extLst>
            <a:ext uri="{FF2B5EF4-FFF2-40B4-BE49-F238E27FC236}">
              <a16:creationId xmlns:a16="http://schemas.microsoft.com/office/drawing/2014/main" id="{76889C45-16D2-40FB-9176-93B15BA4F7D2}"/>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399</xdr:row>
      <xdr:rowOff>0</xdr:rowOff>
    </xdr:from>
    <xdr:ext cx="184731" cy="264560"/>
    <xdr:sp macro="" textlink="">
      <xdr:nvSpPr>
        <xdr:cNvPr id="2783" name="CaixaDeTexto 2782">
          <a:extLst>
            <a:ext uri="{FF2B5EF4-FFF2-40B4-BE49-F238E27FC236}">
              <a16:creationId xmlns:a16="http://schemas.microsoft.com/office/drawing/2014/main" id="{9C3F6F8B-886A-46FC-BB92-324502E9B756}"/>
            </a:ext>
          </a:extLst>
        </xdr:cNvPr>
        <xdr:cNvSpPr txBox="1"/>
      </xdr:nvSpPr>
      <xdr:spPr>
        <a:xfrm>
          <a:off x="5278967"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84" name="CaixaDeTexto 2783">
          <a:extLst>
            <a:ext uri="{FF2B5EF4-FFF2-40B4-BE49-F238E27FC236}">
              <a16:creationId xmlns:a16="http://schemas.microsoft.com/office/drawing/2014/main" id="{E415D3D6-B24D-433C-A46F-64AE8666BE9E}"/>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85" name="CaixaDeTexto 2784">
          <a:extLst>
            <a:ext uri="{FF2B5EF4-FFF2-40B4-BE49-F238E27FC236}">
              <a16:creationId xmlns:a16="http://schemas.microsoft.com/office/drawing/2014/main" id="{67DFC99D-1907-4582-8EE6-7A615002BB9B}"/>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86" name="CaixaDeTexto 2785">
          <a:extLst>
            <a:ext uri="{FF2B5EF4-FFF2-40B4-BE49-F238E27FC236}">
              <a16:creationId xmlns:a16="http://schemas.microsoft.com/office/drawing/2014/main" id="{15FA1DFC-77F2-4313-A24B-9E378C960C7D}"/>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87" name="CaixaDeTexto 2786">
          <a:extLst>
            <a:ext uri="{FF2B5EF4-FFF2-40B4-BE49-F238E27FC236}">
              <a16:creationId xmlns:a16="http://schemas.microsoft.com/office/drawing/2014/main" id="{C9454CAC-AA15-4AB9-AB9C-3115F51BCC1F}"/>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88" name="CaixaDeTexto 2787">
          <a:extLst>
            <a:ext uri="{FF2B5EF4-FFF2-40B4-BE49-F238E27FC236}">
              <a16:creationId xmlns:a16="http://schemas.microsoft.com/office/drawing/2014/main" id="{99EC3FC8-E754-4F18-BA44-1A2900952B43}"/>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89" name="CaixaDeTexto 2788">
          <a:extLst>
            <a:ext uri="{FF2B5EF4-FFF2-40B4-BE49-F238E27FC236}">
              <a16:creationId xmlns:a16="http://schemas.microsoft.com/office/drawing/2014/main" id="{0C2C99CF-A455-47FA-B7EF-2749D3CC252E}"/>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90" name="CaixaDeTexto 2789">
          <a:extLst>
            <a:ext uri="{FF2B5EF4-FFF2-40B4-BE49-F238E27FC236}">
              <a16:creationId xmlns:a16="http://schemas.microsoft.com/office/drawing/2014/main" id="{7918AB7F-43E1-4BC8-91E4-671EE2E80BEB}"/>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91" name="CaixaDeTexto 2790">
          <a:extLst>
            <a:ext uri="{FF2B5EF4-FFF2-40B4-BE49-F238E27FC236}">
              <a16:creationId xmlns:a16="http://schemas.microsoft.com/office/drawing/2014/main" id="{60D64BBC-3D07-419A-9E3F-B0B080957CA6}"/>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92" name="CaixaDeTexto 2791">
          <a:extLst>
            <a:ext uri="{FF2B5EF4-FFF2-40B4-BE49-F238E27FC236}">
              <a16:creationId xmlns:a16="http://schemas.microsoft.com/office/drawing/2014/main" id="{55A6A634-547A-40A1-85F0-156B8C8107EB}"/>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93" name="CaixaDeTexto 2792">
          <a:extLst>
            <a:ext uri="{FF2B5EF4-FFF2-40B4-BE49-F238E27FC236}">
              <a16:creationId xmlns:a16="http://schemas.microsoft.com/office/drawing/2014/main" id="{9DE02C00-459C-478F-B53A-9457A3AC7D2A}"/>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94" name="CaixaDeTexto 2793">
          <a:extLst>
            <a:ext uri="{FF2B5EF4-FFF2-40B4-BE49-F238E27FC236}">
              <a16:creationId xmlns:a16="http://schemas.microsoft.com/office/drawing/2014/main" id="{98071A0C-9939-4D8D-80BB-6283AC2D7215}"/>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795" name="CaixaDeTexto 2794">
          <a:extLst>
            <a:ext uri="{FF2B5EF4-FFF2-40B4-BE49-F238E27FC236}">
              <a16:creationId xmlns:a16="http://schemas.microsoft.com/office/drawing/2014/main" id="{6EA33EC8-CC20-4ADC-8CFF-0B1F38AE33E4}"/>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408</xdr:row>
      <xdr:rowOff>0</xdr:rowOff>
    </xdr:from>
    <xdr:ext cx="184731" cy="264560"/>
    <xdr:sp macro="" textlink="">
      <xdr:nvSpPr>
        <xdr:cNvPr id="2796" name="CaixaDeTexto 2795">
          <a:extLst>
            <a:ext uri="{FF2B5EF4-FFF2-40B4-BE49-F238E27FC236}">
              <a16:creationId xmlns:a16="http://schemas.microsoft.com/office/drawing/2014/main" id="{98585C4C-14A3-47A8-89BE-08EEC70346CA}"/>
            </a:ext>
          </a:extLst>
        </xdr:cNvPr>
        <xdr:cNvSpPr txBox="1"/>
      </xdr:nvSpPr>
      <xdr:spPr>
        <a:xfrm>
          <a:off x="5278967" y="802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408</xdr:row>
      <xdr:rowOff>0</xdr:rowOff>
    </xdr:from>
    <xdr:ext cx="184731" cy="264560"/>
    <xdr:sp macro="" textlink="">
      <xdr:nvSpPr>
        <xdr:cNvPr id="2797" name="CaixaDeTexto 2796">
          <a:extLst>
            <a:ext uri="{FF2B5EF4-FFF2-40B4-BE49-F238E27FC236}">
              <a16:creationId xmlns:a16="http://schemas.microsoft.com/office/drawing/2014/main" id="{1ED6DBD1-1024-4050-B021-C0B4343CE21E}"/>
            </a:ext>
          </a:extLst>
        </xdr:cNvPr>
        <xdr:cNvSpPr txBox="1"/>
      </xdr:nvSpPr>
      <xdr:spPr>
        <a:xfrm>
          <a:off x="5278967" y="802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408</xdr:row>
      <xdr:rowOff>0</xdr:rowOff>
    </xdr:from>
    <xdr:ext cx="184731" cy="264560"/>
    <xdr:sp macro="" textlink="">
      <xdr:nvSpPr>
        <xdr:cNvPr id="2798" name="CaixaDeTexto 2797">
          <a:extLst>
            <a:ext uri="{FF2B5EF4-FFF2-40B4-BE49-F238E27FC236}">
              <a16:creationId xmlns:a16="http://schemas.microsoft.com/office/drawing/2014/main" id="{9188138F-F352-417A-9F89-81768DB9004F}"/>
            </a:ext>
          </a:extLst>
        </xdr:cNvPr>
        <xdr:cNvSpPr txBox="1"/>
      </xdr:nvSpPr>
      <xdr:spPr>
        <a:xfrm>
          <a:off x="5278967" y="802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408</xdr:row>
      <xdr:rowOff>0</xdr:rowOff>
    </xdr:from>
    <xdr:ext cx="184731" cy="264560"/>
    <xdr:sp macro="" textlink="">
      <xdr:nvSpPr>
        <xdr:cNvPr id="2799" name="CaixaDeTexto 2798">
          <a:extLst>
            <a:ext uri="{FF2B5EF4-FFF2-40B4-BE49-F238E27FC236}">
              <a16:creationId xmlns:a16="http://schemas.microsoft.com/office/drawing/2014/main" id="{DD4C012F-5CF7-403C-A373-BFE8B8267E81}"/>
            </a:ext>
          </a:extLst>
        </xdr:cNvPr>
        <xdr:cNvSpPr txBox="1"/>
      </xdr:nvSpPr>
      <xdr:spPr>
        <a:xfrm>
          <a:off x="5278967" y="802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408</xdr:row>
      <xdr:rowOff>0</xdr:rowOff>
    </xdr:from>
    <xdr:ext cx="184731" cy="264560"/>
    <xdr:sp macro="" textlink="">
      <xdr:nvSpPr>
        <xdr:cNvPr id="2800" name="CaixaDeTexto 2799">
          <a:extLst>
            <a:ext uri="{FF2B5EF4-FFF2-40B4-BE49-F238E27FC236}">
              <a16:creationId xmlns:a16="http://schemas.microsoft.com/office/drawing/2014/main" id="{F233C655-7F20-454E-AD24-204CD991D7AD}"/>
            </a:ext>
          </a:extLst>
        </xdr:cNvPr>
        <xdr:cNvSpPr txBox="1"/>
      </xdr:nvSpPr>
      <xdr:spPr>
        <a:xfrm>
          <a:off x="5278967" y="802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408</xdr:row>
      <xdr:rowOff>0</xdr:rowOff>
    </xdr:from>
    <xdr:ext cx="184731" cy="264560"/>
    <xdr:sp macro="" textlink="">
      <xdr:nvSpPr>
        <xdr:cNvPr id="2801" name="CaixaDeTexto 2800">
          <a:extLst>
            <a:ext uri="{FF2B5EF4-FFF2-40B4-BE49-F238E27FC236}">
              <a16:creationId xmlns:a16="http://schemas.microsoft.com/office/drawing/2014/main" id="{E1D0222A-B155-461E-A493-43A2FB7131B8}"/>
            </a:ext>
          </a:extLst>
        </xdr:cNvPr>
        <xdr:cNvSpPr txBox="1"/>
      </xdr:nvSpPr>
      <xdr:spPr>
        <a:xfrm>
          <a:off x="5278967" y="802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2" name="CaixaDeTexto 2801">
          <a:extLst>
            <a:ext uri="{FF2B5EF4-FFF2-40B4-BE49-F238E27FC236}">
              <a16:creationId xmlns:a16="http://schemas.microsoft.com/office/drawing/2014/main" id="{A077D50C-6192-438A-98E2-C3F60678E3D7}"/>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3" name="CaixaDeTexto 2802">
          <a:extLst>
            <a:ext uri="{FF2B5EF4-FFF2-40B4-BE49-F238E27FC236}">
              <a16:creationId xmlns:a16="http://schemas.microsoft.com/office/drawing/2014/main" id="{88F722F7-F7EF-472D-BE7F-FCE4A7175240}"/>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4" name="CaixaDeTexto 2803">
          <a:extLst>
            <a:ext uri="{FF2B5EF4-FFF2-40B4-BE49-F238E27FC236}">
              <a16:creationId xmlns:a16="http://schemas.microsoft.com/office/drawing/2014/main" id="{8D36087E-F38A-4F5F-9895-2B4837CB8A2B}"/>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5" name="CaixaDeTexto 2804">
          <a:extLst>
            <a:ext uri="{FF2B5EF4-FFF2-40B4-BE49-F238E27FC236}">
              <a16:creationId xmlns:a16="http://schemas.microsoft.com/office/drawing/2014/main" id="{68A41134-03FB-4581-8272-AE3D002E6138}"/>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6" name="CaixaDeTexto 2805">
          <a:extLst>
            <a:ext uri="{FF2B5EF4-FFF2-40B4-BE49-F238E27FC236}">
              <a16:creationId xmlns:a16="http://schemas.microsoft.com/office/drawing/2014/main" id="{F62CAF41-E7CF-446C-896A-5E3CCB09C633}"/>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7" name="CaixaDeTexto 2806">
          <a:extLst>
            <a:ext uri="{FF2B5EF4-FFF2-40B4-BE49-F238E27FC236}">
              <a16:creationId xmlns:a16="http://schemas.microsoft.com/office/drawing/2014/main" id="{369CF72E-68CB-4436-9A5D-84D5C9D3B9A9}"/>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8" name="CaixaDeTexto 2807">
          <a:extLst>
            <a:ext uri="{FF2B5EF4-FFF2-40B4-BE49-F238E27FC236}">
              <a16:creationId xmlns:a16="http://schemas.microsoft.com/office/drawing/2014/main" id="{FFAC00D1-37EC-429B-8E82-01BA9EE8DA1A}"/>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09" name="CaixaDeTexto 2808">
          <a:extLst>
            <a:ext uri="{FF2B5EF4-FFF2-40B4-BE49-F238E27FC236}">
              <a16:creationId xmlns:a16="http://schemas.microsoft.com/office/drawing/2014/main" id="{14A5DA90-1E38-4E60-A573-801D728CE7CC}"/>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10" name="CaixaDeTexto 2809">
          <a:extLst>
            <a:ext uri="{FF2B5EF4-FFF2-40B4-BE49-F238E27FC236}">
              <a16:creationId xmlns:a16="http://schemas.microsoft.com/office/drawing/2014/main" id="{C2DBD362-C92D-4620-8AA9-1279922D498B}"/>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11" name="CaixaDeTexto 2810">
          <a:extLst>
            <a:ext uri="{FF2B5EF4-FFF2-40B4-BE49-F238E27FC236}">
              <a16:creationId xmlns:a16="http://schemas.microsoft.com/office/drawing/2014/main" id="{9F3662B8-7CDD-473C-9B2E-8C5E8469CD43}"/>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12" name="CaixaDeTexto 2811">
          <a:extLst>
            <a:ext uri="{FF2B5EF4-FFF2-40B4-BE49-F238E27FC236}">
              <a16:creationId xmlns:a16="http://schemas.microsoft.com/office/drawing/2014/main" id="{DEFAFEFE-E4A5-4569-A112-D7FAAAD5B499}"/>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2</xdr:col>
      <xdr:colOff>4250267</xdr:colOff>
      <xdr:row>407</xdr:row>
      <xdr:rowOff>0</xdr:rowOff>
    </xdr:from>
    <xdr:ext cx="184731" cy="264560"/>
    <xdr:sp macro="" textlink="">
      <xdr:nvSpPr>
        <xdr:cNvPr id="2813" name="CaixaDeTexto 2812">
          <a:extLst>
            <a:ext uri="{FF2B5EF4-FFF2-40B4-BE49-F238E27FC236}">
              <a16:creationId xmlns:a16="http://schemas.microsoft.com/office/drawing/2014/main" id="{BCEF979A-EE13-43E3-89C0-2D32CE15912D}"/>
            </a:ext>
          </a:extLst>
        </xdr:cNvPr>
        <xdr:cNvSpPr txBox="1"/>
      </xdr:nvSpPr>
      <xdr:spPr>
        <a:xfrm>
          <a:off x="5278967" y="8007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4250267</xdr:colOff>
      <xdr:row>7</xdr:row>
      <xdr:rowOff>0</xdr:rowOff>
    </xdr:from>
    <xdr:ext cx="184731" cy="264560"/>
    <xdr:sp macro="" textlink="">
      <xdr:nvSpPr>
        <xdr:cNvPr id="2" name="CaixaDeTexto 1">
          <a:extLst>
            <a:ext uri="{FF2B5EF4-FFF2-40B4-BE49-F238E27FC236}">
              <a16:creationId xmlns:a16="http://schemas.microsoft.com/office/drawing/2014/main" id="{15647129-06CA-404A-AAF3-CB753522A6B9}"/>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3" name="CaixaDeTexto 2">
          <a:extLst>
            <a:ext uri="{FF2B5EF4-FFF2-40B4-BE49-F238E27FC236}">
              <a16:creationId xmlns:a16="http://schemas.microsoft.com/office/drawing/2014/main" id="{195B1264-D3DB-47B4-8462-7485B3B3E94C}"/>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 name="CaixaDeTexto 3">
          <a:extLst>
            <a:ext uri="{FF2B5EF4-FFF2-40B4-BE49-F238E27FC236}">
              <a16:creationId xmlns:a16="http://schemas.microsoft.com/office/drawing/2014/main" id="{641D640A-FFC7-4030-8235-43DFC525403E}"/>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 name="CaixaDeTexto 4">
          <a:extLst>
            <a:ext uri="{FF2B5EF4-FFF2-40B4-BE49-F238E27FC236}">
              <a16:creationId xmlns:a16="http://schemas.microsoft.com/office/drawing/2014/main" id="{E30C013A-A4DE-4475-BD01-E6731E521938}"/>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6" name="CaixaDeTexto 5">
          <a:extLst>
            <a:ext uri="{FF2B5EF4-FFF2-40B4-BE49-F238E27FC236}">
              <a16:creationId xmlns:a16="http://schemas.microsoft.com/office/drawing/2014/main" id="{45AF6211-02ED-41F9-8DF1-23A084EAD2DB}"/>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7" name="CaixaDeTexto 6">
          <a:extLst>
            <a:ext uri="{FF2B5EF4-FFF2-40B4-BE49-F238E27FC236}">
              <a16:creationId xmlns:a16="http://schemas.microsoft.com/office/drawing/2014/main" id="{F5DCC557-468D-405A-85AF-E13DCD38548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8" name="CaixaDeTexto 7">
          <a:extLst>
            <a:ext uri="{FF2B5EF4-FFF2-40B4-BE49-F238E27FC236}">
              <a16:creationId xmlns:a16="http://schemas.microsoft.com/office/drawing/2014/main" id="{603848E0-CD79-4973-A7ED-F6A0CF6E137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9" name="CaixaDeTexto 8">
          <a:extLst>
            <a:ext uri="{FF2B5EF4-FFF2-40B4-BE49-F238E27FC236}">
              <a16:creationId xmlns:a16="http://schemas.microsoft.com/office/drawing/2014/main" id="{7E17BE3D-D3FD-423A-8066-CF6E6ACF711C}"/>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0" name="CaixaDeTexto 9">
          <a:extLst>
            <a:ext uri="{FF2B5EF4-FFF2-40B4-BE49-F238E27FC236}">
              <a16:creationId xmlns:a16="http://schemas.microsoft.com/office/drawing/2014/main" id="{CC1E4896-7C27-4EF7-88F9-702D948315A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1" name="CaixaDeTexto 10">
          <a:extLst>
            <a:ext uri="{FF2B5EF4-FFF2-40B4-BE49-F238E27FC236}">
              <a16:creationId xmlns:a16="http://schemas.microsoft.com/office/drawing/2014/main" id="{9578A129-6CD7-475A-94F7-0483FBD8B322}"/>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2" name="CaixaDeTexto 11">
          <a:extLst>
            <a:ext uri="{FF2B5EF4-FFF2-40B4-BE49-F238E27FC236}">
              <a16:creationId xmlns:a16="http://schemas.microsoft.com/office/drawing/2014/main" id="{33BF0ADA-2485-408A-8468-45DC9E4C7A15}"/>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3" name="CaixaDeTexto 12">
          <a:extLst>
            <a:ext uri="{FF2B5EF4-FFF2-40B4-BE49-F238E27FC236}">
              <a16:creationId xmlns:a16="http://schemas.microsoft.com/office/drawing/2014/main" id="{CFEA644D-3639-4A3F-8F53-2AF42E5BECE7}"/>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4" name="CaixaDeTexto 13">
          <a:extLst>
            <a:ext uri="{FF2B5EF4-FFF2-40B4-BE49-F238E27FC236}">
              <a16:creationId xmlns:a16="http://schemas.microsoft.com/office/drawing/2014/main" id="{D0613333-6BFE-4037-BC5D-7FBEC1A0EB8A}"/>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5" name="CaixaDeTexto 14">
          <a:extLst>
            <a:ext uri="{FF2B5EF4-FFF2-40B4-BE49-F238E27FC236}">
              <a16:creationId xmlns:a16="http://schemas.microsoft.com/office/drawing/2014/main" id="{9ED232FC-4532-4D5A-A419-88BA85C3BF37}"/>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6" name="CaixaDeTexto 15">
          <a:extLst>
            <a:ext uri="{FF2B5EF4-FFF2-40B4-BE49-F238E27FC236}">
              <a16:creationId xmlns:a16="http://schemas.microsoft.com/office/drawing/2014/main" id="{F1BE96D6-4C77-4214-AE87-386D4ABF1D69}"/>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7" name="CaixaDeTexto 16">
          <a:extLst>
            <a:ext uri="{FF2B5EF4-FFF2-40B4-BE49-F238E27FC236}">
              <a16:creationId xmlns:a16="http://schemas.microsoft.com/office/drawing/2014/main" id="{D42314E1-3B70-4766-87FD-34C60FE9B568}"/>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8" name="CaixaDeTexto 17">
          <a:extLst>
            <a:ext uri="{FF2B5EF4-FFF2-40B4-BE49-F238E27FC236}">
              <a16:creationId xmlns:a16="http://schemas.microsoft.com/office/drawing/2014/main" id="{5468BC7A-52C5-44C3-B55A-10D84893DEC1}"/>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19" name="CaixaDeTexto 18">
          <a:extLst>
            <a:ext uri="{FF2B5EF4-FFF2-40B4-BE49-F238E27FC236}">
              <a16:creationId xmlns:a16="http://schemas.microsoft.com/office/drawing/2014/main" id="{6D178FE9-24EA-4C1E-8CDE-51D09384846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0" name="CaixaDeTexto 19">
          <a:extLst>
            <a:ext uri="{FF2B5EF4-FFF2-40B4-BE49-F238E27FC236}">
              <a16:creationId xmlns:a16="http://schemas.microsoft.com/office/drawing/2014/main" id="{1EEAFCA8-6DB5-437E-8D8F-28436535BA7F}"/>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1" name="CaixaDeTexto 20">
          <a:extLst>
            <a:ext uri="{FF2B5EF4-FFF2-40B4-BE49-F238E27FC236}">
              <a16:creationId xmlns:a16="http://schemas.microsoft.com/office/drawing/2014/main" id="{A1FBA36E-1423-4449-A5B2-23B5543F1B28}"/>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2" name="CaixaDeTexto 21">
          <a:extLst>
            <a:ext uri="{FF2B5EF4-FFF2-40B4-BE49-F238E27FC236}">
              <a16:creationId xmlns:a16="http://schemas.microsoft.com/office/drawing/2014/main" id="{2343D304-934E-4FD7-87BC-13FD6B0E4216}"/>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3" name="CaixaDeTexto 22">
          <a:extLst>
            <a:ext uri="{FF2B5EF4-FFF2-40B4-BE49-F238E27FC236}">
              <a16:creationId xmlns:a16="http://schemas.microsoft.com/office/drawing/2014/main" id="{248E3C8B-1237-4ABB-ABCC-F4C3E1A6ECAB}"/>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4" name="CaixaDeTexto 23">
          <a:extLst>
            <a:ext uri="{FF2B5EF4-FFF2-40B4-BE49-F238E27FC236}">
              <a16:creationId xmlns:a16="http://schemas.microsoft.com/office/drawing/2014/main" id="{E0E6C0EF-1AA6-4D96-94BD-7AE4E0989CCA}"/>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5" name="CaixaDeTexto 24">
          <a:extLst>
            <a:ext uri="{FF2B5EF4-FFF2-40B4-BE49-F238E27FC236}">
              <a16:creationId xmlns:a16="http://schemas.microsoft.com/office/drawing/2014/main" id="{6E5F6BA4-0E82-4C08-A336-A4B21C56513F}"/>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6" name="CaixaDeTexto 25">
          <a:extLst>
            <a:ext uri="{FF2B5EF4-FFF2-40B4-BE49-F238E27FC236}">
              <a16:creationId xmlns:a16="http://schemas.microsoft.com/office/drawing/2014/main" id="{8620767A-096D-41D2-9D95-5B898484745F}"/>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7" name="CaixaDeTexto 26">
          <a:extLst>
            <a:ext uri="{FF2B5EF4-FFF2-40B4-BE49-F238E27FC236}">
              <a16:creationId xmlns:a16="http://schemas.microsoft.com/office/drawing/2014/main" id="{1E650C4C-DCF4-40F0-A6A1-13A1BA3D9847}"/>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8" name="CaixaDeTexto 27">
          <a:extLst>
            <a:ext uri="{FF2B5EF4-FFF2-40B4-BE49-F238E27FC236}">
              <a16:creationId xmlns:a16="http://schemas.microsoft.com/office/drawing/2014/main" id="{9A66FF74-0DE0-46A2-B16B-0465014D9413}"/>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29" name="CaixaDeTexto 28">
          <a:extLst>
            <a:ext uri="{FF2B5EF4-FFF2-40B4-BE49-F238E27FC236}">
              <a16:creationId xmlns:a16="http://schemas.microsoft.com/office/drawing/2014/main" id="{2886F4DB-85D7-48AD-A116-B015C8F5F1F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0</xdr:col>
      <xdr:colOff>0</xdr:colOff>
      <xdr:row>7</xdr:row>
      <xdr:rowOff>0</xdr:rowOff>
    </xdr:from>
    <xdr:ext cx="184731" cy="264560"/>
    <xdr:sp macro="" textlink="">
      <xdr:nvSpPr>
        <xdr:cNvPr id="30" name="CaixaDeTexto 29">
          <a:extLst>
            <a:ext uri="{FF2B5EF4-FFF2-40B4-BE49-F238E27FC236}">
              <a16:creationId xmlns:a16="http://schemas.microsoft.com/office/drawing/2014/main" id="{E2BA8016-DEF0-488E-BF3A-A6FA8CB71DAE}"/>
            </a:ext>
          </a:extLst>
        </xdr:cNvPr>
        <xdr:cNvSpPr txBox="1"/>
      </xdr:nvSpPr>
      <xdr:spPr>
        <a:xfrm>
          <a:off x="0"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0</xdr:col>
      <xdr:colOff>34290</xdr:colOff>
      <xdr:row>9</xdr:row>
      <xdr:rowOff>95250</xdr:rowOff>
    </xdr:from>
    <xdr:ext cx="5569025" cy="950580"/>
    <mc:AlternateContent xmlns:mc="http://schemas.openxmlformats.org/markup-compatibility/2006" xmlns:a14="http://schemas.microsoft.com/office/drawing/2010/main">
      <mc:Choice Requires="a14">
        <xdr:sp macro="" textlink="">
          <xdr:nvSpPr>
            <xdr:cNvPr id="31" name="CaixaDeTexto 30">
              <a:extLst>
                <a:ext uri="{FF2B5EF4-FFF2-40B4-BE49-F238E27FC236}">
                  <a16:creationId xmlns:a16="http://schemas.microsoft.com/office/drawing/2014/main" id="{570621D6-155C-4C19-8E07-1698C92E18D7}"/>
                </a:ext>
              </a:extLst>
            </xdr:cNvPr>
            <xdr:cNvSpPr txBox="1"/>
          </xdr:nvSpPr>
          <xdr:spPr>
            <a:xfrm>
              <a:off x="34290" y="1786890"/>
              <a:ext cx="5569025" cy="95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pt-BR" sz="1400" b="0" i="1">
                      <a:latin typeface="Cambria Math" panose="02040503050406030204"/>
                    </a:rPr>
                    <m:t>𝐵𝐷𝐼</m:t>
                  </m:r>
                  <m:r>
                    <a:rPr lang="pt-BR" sz="1400" b="0" i="1">
                      <a:latin typeface="Cambria Math" panose="02040503050406030204"/>
                    </a:rPr>
                    <m:t> = </m:t>
                  </m:r>
                  <m:f>
                    <m:fPr>
                      <m:ctrlPr>
                        <a:rPr lang="pt-BR" sz="1400" i="1">
                          <a:latin typeface="Cambria Math" panose="02040503050406030204" pitchFamily="18" charset="0"/>
                        </a:rPr>
                      </m:ctrlPr>
                    </m:fPr>
                    <m:num>
                      <m:d>
                        <m:dPr>
                          <m:ctrlPr>
                            <a:rPr lang="pt-BR" sz="1400" b="0" i="1">
                              <a:latin typeface="Cambria Math" panose="02040503050406030204" pitchFamily="18" charset="0"/>
                            </a:rPr>
                          </m:ctrlPr>
                        </m:dPr>
                        <m:e>
                          <m:r>
                            <a:rPr lang="pt-BR" sz="1400" b="0" i="1">
                              <a:latin typeface="Cambria Math" panose="02040503050406030204"/>
                            </a:rPr>
                            <m:t>1+</m:t>
                          </m:r>
                          <m:r>
                            <a:rPr lang="pt-BR" sz="1400" b="0" i="1">
                              <a:latin typeface="Cambria Math" panose="02040503050406030204"/>
                            </a:rPr>
                            <m:t>𝐴𝐶</m:t>
                          </m:r>
                          <m:r>
                            <a:rPr lang="pt-BR" sz="1400" b="0" i="1">
                              <a:latin typeface="Cambria Math" panose="02040503050406030204"/>
                            </a:rPr>
                            <m:t>+</m:t>
                          </m:r>
                          <m:r>
                            <a:rPr lang="pt-BR" sz="1400" b="0" i="1">
                              <a:latin typeface="Cambria Math" panose="02040503050406030204"/>
                            </a:rPr>
                            <m:t>𝑅</m:t>
                          </m:r>
                          <m:r>
                            <a:rPr lang="pt-BR" sz="1400" b="0" i="1">
                              <a:latin typeface="Cambria Math" panose="02040503050406030204"/>
                            </a:rPr>
                            <m:t>+</m:t>
                          </m:r>
                          <m:r>
                            <a:rPr lang="pt-BR" sz="1400" b="0" i="1">
                              <a:latin typeface="Cambria Math" panose="02040503050406030204"/>
                            </a:rPr>
                            <m:t>𝐺</m:t>
                          </m:r>
                          <m:r>
                            <a:rPr lang="pt-BR" sz="1400" b="0" i="1">
                              <a:latin typeface="Cambria Math" panose="02040503050406030204"/>
                            </a:rPr>
                            <m:t>+</m:t>
                          </m:r>
                          <m:r>
                            <a:rPr lang="pt-BR" sz="1400" b="0" i="1">
                              <a:latin typeface="Cambria Math" panose="02040503050406030204"/>
                            </a:rPr>
                            <m:t>𝑆</m:t>
                          </m:r>
                          <m:r>
                            <a:rPr lang="pt-BR" sz="1400" b="0" i="1">
                              <a:latin typeface="Cambria Math" panose="02040503050406030204"/>
                            </a:rPr>
                            <m:t> </m:t>
                          </m:r>
                        </m:e>
                      </m:d>
                      <m:r>
                        <a:rPr lang="pt-BR" sz="1400" b="0" i="1">
                          <a:latin typeface="Cambria Math" panose="02040503050406030204"/>
                        </a:rPr>
                        <m:t>𝑥</m:t>
                      </m:r>
                      <m:r>
                        <a:rPr lang="pt-BR" sz="1400" b="0" i="1">
                          <a:latin typeface="Cambria Math" panose="02040503050406030204"/>
                        </a:rPr>
                        <m:t> </m:t>
                      </m:r>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𝐷𝐹</m:t>
                          </m:r>
                          <m:r>
                            <a:rPr lang="pt-BR" sz="1400" b="0" i="1">
                              <a:latin typeface="Cambria Math" panose="02040503050406030204"/>
                            </a:rPr>
                            <m:t> </m:t>
                          </m:r>
                        </m:e>
                      </m:d>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𝐿</m:t>
                          </m:r>
                          <m:r>
                            <a:rPr lang="pt-BR" sz="1400" b="0" i="1">
                              <a:latin typeface="Cambria Math" panose="02040503050406030204"/>
                            </a:rPr>
                            <m:t> </m:t>
                          </m:r>
                        </m:e>
                      </m:d>
                    </m:num>
                    <m:den>
                      <m:r>
                        <a:rPr lang="pt-BR" sz="1400" b="0" i="1">
                          <a:latin typeface="Cambria Math" panose="02040503050406030204"/>
                        </a:rPr>
                        <m:t>(1 −</m:t>
                      </m:r>
                      <m:r>
                        <a:rPr lang="pt-BR" sz="1400" b="0" i="1">
                          <a:latin typeface="Cambria Math" panose="02040503050406030204"/>
                        </a:rPr>
                        <m:t>𝐼</m:t>
                      </m:r>
                      <m:r>
                        <a:rPr lang="pt-BR" sz="1400" b="0" i="1">
                          <a:latin typeface="Cambria Math" panose="02040503050406030204"/>
                        </a:rPr>
                        <m:t> )</m:t>
                      </m:r>
                    </m:den>
                  </m:f>
                  <m:r>
                    <a:rPr lang="pt-BR" sz="1400" b="0" i="1">
                      <a:solidFill>
                        <a:schemeClr val="tx1"/>
                      </a:solidFill>
                      <a:effectLst/>
                      <a:latin typeface="Cambria Math" panose="02040503050406030204" pitchFamily="18" charset="0"/>
                      <a:ea typeface="+mn-ea"/>
                      <a:cs typeface="+mn-cs"/>
                    </a:rPr>
                    <m:t>−1</m:t>
                  </m:r>
                </m:oMath>
              </a14:m>
              <a:r>
                <a:rPr lang="pt-BR" sz="1400">
                  <a:latin typeface="Arial" panose="020B0604020202020204" pitchFamily="7" charset="0"/>
                  <a:cs typeface="Arial" panose="020B0604020202020204" pitchFamily="7" charset="0"/>
                </a:rPr>
                <a:t> </a:t>
              </a:r>
            </a:p>
          </xdr:txBody>
        </xdr:sp>
      </mc:Choice>
      <mc:Fallback xmlns="">
        <xdr:sp macro="" textlink="">
          <xdr:nvSpPr>
            <xdr:cNvPr id="31" name="CaixaDeTexto 30">
              <a:extLst>
                <a:ext uri="{FF2B5EF4-FFF2-40B4-BE49-F238E27FC236}">
                  <a16:creationId xmlns:a16="http://schemas.microsoft.com/office/drawing/2014/main" id="{570621D6-155C-4C19-8E07-1698C92E18D7}"/>
                </a:ext>
              </a:extLst>
            </xdr:cNvPr>
            <xdr:cNvSpPr txBox="1"/>
          </xdr:nvSpPr>
          <xdr:spPr>
            <a:xfrm>
              <a:off x="34290" y="1786890"/>
              <a:ext cx="5569025" cy="95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400" b="0" i="0">
                  <a:latin typeface="Cambria Math" panose="02040503050406030204"/>
                </a:rPr>
                <a:t>𝐵𝐷𝐼 = </a:t>
              </a:r>
              <a:r>
                <a:rPr lang="pt-BR" sz="1400" b="0" i="0">
                  <a:latin typeface="Cambria Math" panose="02040503050406030204" pitchFamily="18" charset="0"/>
                </a:rPr>
                <a:t> ((</a:t>
              </a:r>
              <a:r>
                <a:rPr lang="pt-BR" sz="1400" b="0" i="0">
                  <a:latin typeface="Cambria Math" panose="02040503050406030204"/>
                </a:rPr>
                <a:t>1+𝐴𝐶+𝑅+𝐺+𝑆 </a:t>
              </a:r>
              <a:r>
                <a:rPr lang="pt-BR" sz="1400" b="0" i="0">
                  <a:latin typeface="Cambria Math" panose="02040503050406030204" pitchFamily="18" charset="0"/>
                </a:rPr>
                <a:t>)</a:t>
              </a:r>
              <a:r>
                <a:rPr lang="pt-BR" sz="1400" b="0" i="0">
                  <a:latin typeface="Cambria Math" panose="02040503050406030204"/>
                </a:rPr>
                <a:t>𝑥 </a:t>
              </a:r>
              <a:r>
                <a:rPr lang="pt-BR" sz="1400" b="0" i="0">
                  <a:latin typeface="Cambria Math" panose="02040503050406030204" pitchFamily="18" charset="0"/>
                </a:rPr>
                <a:t>(</a:t>
              </a:r>
              <a:r>
                <a:rPr lang="pt-BR" sz="1400" b="0" i="0">
                  <a:latin typeface="Cambria Math" panose="02040503050406030204"/>
                </a:rPr>
                <a:t> 1+𝐷𝐹 </a:t>
              </a:r>
              <a:r>
                <a:rPr lang="pt-BR" sz="1400" b="0" i="0">
                  <a:latin typeface="Cambria Math" panose="02040503050406030204" pitchFamily="18" charset="0"/>
                </a:rPr>
                <a:t>)(</a:t>
              </a:r>
              <a:r>
                <a:rPr lang="pt-BR" sz="1400" b="0" i="0">
                  <a:latin typeface="Cambria Math" panose="02040503050406030204"/>
                </a:rPr>
                <a:t> 1+𝐿 </a:t>
              </a:r>
              <a:r>
                <a:rPr lang="pt-BR" sz="1400" b="0" i="0">
                  <a:latin typeface="Cambria Math" panose="02040503050406030204" pitchFamily="18" charset="0"/>
                </a:rPr>
                <a:t>))/(</a:t>
              </a:r>
              <a:r>
                <a:rPr lang="pt-BR" sz="1400" b="0" i="0">
                  <a:latin typeface="Cambria Math" panose="02040503050406030204"/>
                </a:rPr>
                <a:t>(1 −𝐼 )</a:t>
              </a:r>
              <a:r>
                <a:rPr lang="pt-BR" sz="1400" b="0" i="0">
                  <a:latin typeface="Cambria Math" panose="02040503050406030204" pitchFamily="18" charset="0"/>
                </a:rPr>
                <a:t>)</a:t>
              </a:r>
              <a:r>
                <a:rPr lang="pt-BR" sz="1400" b="0" i="0">
                  <a:solidFill>
                    <a:schemeClr val="tx1"/>
                  </a:solidFill>
                  <a:effectLst/>
                  <a:latin typeface="Cambria Math" panose="02040503050406030204" pitchFamily="18" charset="0"/>
                  <a:ea typeface="+mn-ea"/>
                  <a:cs typeface="+mn-cs"/>
                </a:rPr>
                <a:t>−1</a:t>
              </a:r>
              <a:r>
                <a:rPr lang="pt-BR" sz="1400">
                  <a:latin typeface="Arial" panose="020B0604020202020204" pitchFamily="7" charset="0"/>
                  <a:cs typeface="Arial" panose="020B0604020202020204" pitchFamily="7" charset="0"/>
                </a:rPr>
                <a:t> </a:t>
              </a:r>
            </a:p>
          </xdr:txBody>
        </xdr:sp>
      </mc:Fallback>
    </mc:AlternateContent>
    <xdr:clientData/>
  </xdr:oneCellAnchor>
  <xdr:oneCellAnchor>
    <xdr:from>
      <xdr:col>0</xdr:col>
      <xdr:colOff>0</xdr:colOff>
      <xdr:row>18</xdr:row>
      <xdr:rowOff>0</xdr:rowOff>
    </xdr:from>
    <xdr:ext cx="184731" cy="264560"/>
    <xdr:sp macro="" textlink="">
      <xdr:nvSpPr>
        <xdr:cNvPr id="32" name="CaixaDeTexto 31">
          <a:extLst>
            <a:ext uri="{FF2B5EF4-FFF2-40B4-BE49-F238E27FC236}">
              <a16:creationId xmlns:a16="http://schemas.microsoft.com/office/drawing/2014/main" id="{FED7DED6-C58D-4834-9E03-44257F37E449}"/>
            </a:ext>
          </a:extLst>
        </xdr:cNvPr>
        <xdr:cNvSpPr txBox="1"/>
      </xdr:nvSpPr>
      <xdr:spPr>
        <a:xfrm>
          <a:off x="0"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0</xdr:col>
      <xdr:colOff>34290</xdr:colOff>
      <xdr:row>20</xdr:row>
      <xdr:rowOff>95250</xdr:rowOff>
    </xdr:from>
    <xdr:ext cx="5569025" cy="958308"/>
    <mc:AlternateContent xmlns:mc="http://schemas.openxmlformats.org/markup-compatibility/2006" xmlns:a14="http://schemas.microsoft.com/office/drawing/2010/main">
      <mc:Choice Requires="a14">
        <xdr:sp macro="" textlink="">
          <xdr:nvSpPr>
            <xdr:cNvPr id="33" name="CaixaDeTexto 32">
              <a:extLst>
                <a:ext uri="{FF2B5EF4-FFF2-40B4-BE49-F238E27FC236}">
                  <a16:creationId xmlns:a16="http://schemas.microsoft.com/office/drawing/2014/main" id="{AFC0773B-408C-453F-9782-93DB82B454CF}"/>
                </a:ext>
              </a:extLst>
            </xdr:cNvPr>
            <xdr:cNvSpPr txBox="1"/>
          </xdr:nvSpPr>
          <xdr:spPr>
            <a:xfrm>
              <a:off x="34290" y="3882390"/>
              <a:ext cx="5569025" cy="95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pt-BR" sz="1400" b="0" i="1">
                      <a:latin typeface="Cambria Math" panose="02040503050406030204"/>
                    </a:rPr>
                    <m:t>𝐵𝐷𝐼</m:t>
                  </m:r>
                  <m:r>
                    <a:rPr lang="pt-BR" sz="1400" b="0" i="1">
                      <a:latin typeface="Cambria Math" panose="02040503050406030204"/>
                    </a:rPr>
                    <m:t> = </m:t>
                  </m:r>
                  <m:f>
                    <m:fPr>
                      <m:ctrlPr>
                        <a:rPr lang="pt-BR" sz="1400" i="1">
                          <a:latin typeface="Cambria Math" panose="02040503050406030204" pitchFamily="18" charset="0"/>
                        </a:rPr>
                      </m:ctrlPr>
                    </m:fPr>
                    <m:num>
                      <m:d>
                        <m:dPr>
                          <m:ctrlPr>
                            <a:rPr lang="pt-BR" sz="1400" b="0" i="1">
                              <a:latin typeface="Cambria Math" panose="02040503050406030204" pitchFamily="18" charset="0"/>
                            </a:rPr>
                          </m:ctrlPr>
                        </m:dPr>
                        <m:e>
                          <m:r>
                            <a:rPr lang="pt-BR" sz="1400" b="0" i="1">
                              <a:latin typeface="Cambria Math" panose="02040503050406030204"/>
                            </a:rPr>
                            <m:t>1+</m:t>
                          </m:r>
                          <m:r>
                            <a:rPr lang="pt-BR" sz="1400" b="0" i="1">
                              <a:latin typeface="Cambria Math" panose="02040503050406030204"/>
                            </a:rPr>
                            <m:t>𝐴𝐶</m:t>
                          </m:r>
                          <m:r>
                            <a:rPr lang="pt-BR" sz="1400" b="0" i="1">
                              <a:latin typeface="Cambria Math" panose="02040503050406030204"/>
                            </a:rPr>
                            <m:t>+</m:t>
                          </m:r>
                          <m:r>
                            <a:rPr lang="pt-BR" sz="1400" b="0" i="1">
                              <a:latin typeface="Cambria Math" panose="02040503050406030204"/>
                            </a:rPr>
                            <m:t>𝑅</m:t>
                          </m:r>
                          <m:r>
                            <a:rPr lang="pt-BR" sz="1400" b="0" i="1">
                              <a:latin typeface="Cambria Math" panose="02040503050406030204"/>
                            </a:rPr>
                            <m:t>+</m:t>
                          </m:r>
                          <m:r>
                            <a:rPr lang="pt-BR" sz="1400" b="0" i="1">
                              <a:latin typeface="Cambria Math" panose="02040503050406030204"/>
                            </a:rPr>
                            <m:t>𝐺</m:t>
                          </m:r>
                          <m:r>
                            <a:rPr lang="pt-BR" sz="1400" b="0" i="1">
                              <a:latin typeface="Cambria Math" panose="02040503050406030204"/>
                            </a:rPr>
                            <m:t>+</m:t>
                          </m:r>
                          <m:r>
                            <a:rPr lang="pt-BR" sz="1400" b="0" i="1">
                              <a:latin typeface="Cambria Math" panose="02040503050406030204"/>
                            </a:rPr>
                            <m:t>𝑆</m:t>
                          </m:r>
                          <m:r>
                            <a:rPr lang="pt-BR" sz="1400" b="0" i="1">
                              <a:latin typeface="Cambria Math" panose="02040503050406030204"/>
                            </a:rPr>
                            <m:t> </m:t>
                          </m:r>
                        </m:e>
                      </m:d>
                      <m:r>
                        <a:rPr lang="pt-BR" sz="1400" b="0" i="1">
                          <a:latin typeface="Cambria Math" panose="02040503050406030204"/>
                        </a:rPr>
                        <m:t>𝑥</m:t>
                      </m:r>
                      <m:r>
                        <a:rPr lang="pt-BR" sz="1400" b="0" i="1">
                          <a:latin typeface="Cambria Math" panose="02040503050406030204"/>
                        </a:rPr>
                        <m:t> </m:t>
                      </m:r>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𝐷𝐹</m:t>
                          </m:r>
                          <m:r>
                            <a:rPr lang="pt-BR" sz="1400" b="0" i="1">
                              <a:latin typeface="Cambria Math" panose="02040503050406030204"/>
                            </a:rPr>
                            <m:t> </m:t>
                          </m:r>
                        </m:e>
                      </m:d>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𝐿</m:t>
                          </m:r>
                          <m:r>
                            <a:rPr lang="pt-BR" sz="1400" b="0" i="1">
                              <a:latin typeface="Cambria Math" panose="02040503050406030204"/>
                            </a:rPr>
                            <m:t> </m:t>
                          </m:r>
                        </m:e>
                      </m:d>
                    </m:num>
                    <m:den>
                      <m:r>
                        <a:rPr lang="pt-BR" sz="1400" b="0" i="1">
                          <a:latin typeface="Cambria Math" panose="02040503050406030204"/>
                        </a:rPr>
                        <m:t>(1 −</m:t>
                      </m:r>
                      <m:r>
                        <a:rPr lang="pt-BR" sz="1400" b="0" i="1">
                          <a:latin typeface="Cambria Math" panose="02040503050406030204"/>
                        </a:rPr>
                        <m:t>𝐼</m:t>
                      </m:r>
                      <m:r>
                        <a:rPr lang="pt-BR" sz="1400" b="0" i="1">
                          <a:latin typeface="Cambria Math" panose="02040503050406030204"/>
                        </a:rPr>
                        <m:t> )</m:t>
                      </m:r>
                    </m:den>
                  </m:f>
                  <m:r>
                    <a:rPr lang="pt-BR" sz="1400" b="0" i="1">
                      <a:solidFill>
                        <a:schemeClr val="tx1"/>
                      </a:solidFill>
                      <a:effectLst/>
                      <a:latin typeface="Cambria Math" panose="02040503050406030204" pitchFamily="18" charset="0"/>
                      <a:ea typeface="+mn-ea"/>
                      <a:cs typeface="+mn-cs"/>
                    </a:rPr>
                    <m:t>−1</m:t>
                  </m:r>
                </m:oMath>
              </a14:m>
              <a:r>
                <a:rPr lang="pt-BR" sz="1400">
                  <a:latin typeface="Arial" panose="020B0604020202020204" pitchFamily="7" charset="0"/>
                  <a:cs typeface="Arial" panose="020B0604020202020204" pitchFamily="7" charset="0"/>
                </a:rPr>
                <a:t> </a:t>
              </a:r>
            </a:p>
          </xdr:txBody>
        </xdr:sp>
      </mc:Choice>
      <mc:Fallback xmlns="">
        <xdr:sp macro="" textlink="">
          <xdr:nvSpPr>
            <xdr:cNvPr id="33" name="CaixaDeTexto 32">
              <a:extLst>
                <a:ext uri="{FF2B5EF4-FFF2-40B4-BE49-F238E27FC236}">
                  <a16:creationId xmlns:a16="http://schemas.microsoft.com/office/drawing/2014/main" id="{AFC0773B-408C-453F-9782-93DB82B454CF}"/>
                </a:ext>
              </a:extLst>
            </xdr:cNvPr>
            <xdr:cNvSpPr txBox="1"/>
          </xdr:nvSpPr>
          <xdr:spPr>
            <a:xfrm>
              <a:off x="34290" y="3882390"/>
              <a:ext cx="5569025" cy="95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400" b="0" i="0">
                  <a:latin typeface="Cambria Math" panose="02040503050406030204"/>
                </a:rPr>
                <a:t>𝐵𝐷𝐼 = </a:t>
              </a:r>
              <a:r>
                <a:rPr lang="pt-BR" sz="1400" b="0" i="0">
                  <a:latin typeface="Cambria Math" panose="02040503050406030204" pitchFamily="18" charset="0"/>
                </a:rPr>
                <a:t> ((</a:t>
              </a:r>
              <a:r>
                <a:rPr lang="pt-BR" sz="1400" b="0" i="0">
                  <a:latin typeface="Cambria Math" panose="02040503050406030204"/>
                </a:rPr>
                <a:t>1+𝐴𝐶+𝑅+𝐺+𝑆 </a:t>
              </a:r>
              <a:r>
                <a:rPr lang="pt-BR" sz="1400" b="0" i="0">
                  <a:latin typeface="Cambria Math" panose="02040503050406030204" pitchFamily="18" charset="0"/>
                </a:rPr>
                <a:t>)</a:t>
              </a:r>
              <a:r>
                <a:rPr lang="pt-BR" sz="1400" b="0" i="0">
                  <a:latin typeface="Cambria Math" panose="02040503050406030204"/>
                </a:rPr>
                <a:t>𝑥 </a:t>
              </a:r>
              <a:r>
                <a:rPr lang="pt-BR" sz="1400" b="0" i="0">
                  <a:latin typeface="Cambria Math" panose="02040503050406030204" pitchFamily="18" charset="0"/>
                </a:rPr>
                <a:t>(</a:t>
              </a:r>
              <a:r>
                <a:rPr lang="pt-BR" sz="1400" b="0" i="0">
                  <a:latin typeface="Cambria Math" panose="02040503050406030204"/>
                </a:rPr>
                <a:t> 1+𝐷𝐹 </a:t>
              </a:r>
              <a:r>
                <a:rPr lang="pt-BR" sz="1400" b="0" i="0">
                  <a:latin typeface="Cambria Math" panose="02040503050406030204" pitchFamily="18" charset="0"/>
                </a:rPr>
                <a:t>)(</a:t>
              </a:r>
              <a:r>
                <a:rPr lang="pt-BR" sz="1400" b="0" i="0">
                  <a:latin typeface="Cambria Math" panose="02040503050406030204"/>
                </a:rPr>
                <a:t> 1+𝐿 </a:t>
              </a:r>
              <a:r>
                <a:rPr lang="pt-BR" sz="1400" b="0" i="0">
                  <a:latin typeface="Cambria Math" panose="02040503050406030204" pitchFamily="18" charset="0"/>
                </a:rPr>
                <a:t>))/(</a:t>
              </a:r>
              <a:r>
                <a:rPr lang="pt-BR" sz="1400" b="0" i="0">
                  <a:latin typeface="Cambria Math" panose="02040503050406030204"/>
                </a:rPr>
                <a:t>(1 −𝐼 )</a:t>
              </a:r>
              <a:r>
                <a:rPr lang="pt-BR" sz="1400" b="0" i="0">
                  <a:latin typeface="Cambria Math" panose="02040503050406030204" pitchFamily="18" charset="0"/>
                </a:rPr>
                <a:t>)</a:t>
              </a:r>
              <a:r>
                <a:rPr lang="pt-BR" sz="1400" b="0" i="0">
                  <a:solidFill>
                    <a:schemeClr val="tx1"/>
                  </a:solidFill>
                  <a:effectLst/>
                  <a:latin typeface="Cambria Math" panose="02040503050406030204" pitchFamily="18" charset="0"/>
                  <a:ea typeface="+mn-ea"/>
                  <a:cs typeface="+mn-cs"/>
                </a:rPr>
                <a:t>−1</a:t>
              </a:r>
              <a:r>
                <a:rPr lang="pt-BR" sz="1400">
                  <a:latin typeface="Arial" panose="020B0604020202020204" pitchFamily="7" charset="0"/>
                  <a:cs typeface="Arial" panose="020B0604020202020204" pitchFamily="7" charset="0"/>
                </a:rPr>
                <a:t> </a:t>
              </a:r>
            </a:p>
          </xdr:txBody>
        </xdr:sp>
      </mc:Fallback>
    </mc:AlternateContent>
    <xdr:clientData/>
  </xdr:oneCellAnchor>
  <xdr:oneCellAnchor>
    <xdr:from>
      <xdr:col>1</xdr:col>
      <xdr:colOff>4250267</xdr:colOff>
      <xdr:row>7</xdr:row>
      <xdr:rowOff>0</xdr:rowOff>
    </xdr:from>
    <xdr:ext cx="184731" cy="264560"/>
    <xdr:sp macro="" textlink="">
      <xdr:nvSpPr>
        <xdr:cNvPr id="34" name="CaixaDeTexto 33">
          <a:extLst>
            <a:ext uri="{FF2B5EF4-FFF2-40B4-BE49-F238E27FC236}">
              <a16:creationId xmlns:a16="http://schemas.microsoft.com/office/drawing/2014/main" id="{7E514079-27A3-48B8-884D-3EFF6D740BD8}"/>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35" name="CaixaDeTexto 34">
          <a:extLst>
            <a:ext uri="{FF2B5EF4-FFF2-40B4-BE49-F238E27FC236}">
              <a16:creationId xmlns:a16="http://schemas.microsoft.com/office/drawing/2014/main" id="{DB7CE575-05EC-48DC-9173-FB240164AEB6}"/>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36" name="CaixaDeTexto 35">
          <a:extLst>
            <a:ext uri="{FF2B5EF4-FFF2-40B4-BE49-F238E27FC236}">
              <a16:creationId xmlns:a16="http://schemas.microsoft.com/office/drawing/2014/main" id="{8561E74A-8241-4CAB-935F-60F20966FA42}"/>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37" name="CaixaDeTexto 36">
          <a:extLst>
            <a:ext uri="{FF2B5EF4-FFF2-40B4-BE49-F238E27FC236}">
              <a16:creationId xmlns:a16="http://schemas.microsoft.com/office/drawing/2014/main" id="{9D57D5AD-1001-4DA1-B600-1DE9822AEC04}"/>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38" name="CaixaDeTexto 37">
          <a:extLst>
            <a:ext uri="{FF2B5EF4-FFF2-40B4-BE49-F238E27FC236}">
              <a16:creationId xmlns:a16="http://schemas.microsoft.com/office/drawing/2014/main" id="{CF7EA374-6C19-42CE-B2D4-CA49CB3F42CB}"/>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39" name="CaixaDeTexto 38">
          <a:extLst>
            <a:ext uri="{FF2B5EF4-FFF2-40B4-BE49-F238E27FC236}">
              <a16:creationId xmlns:a16="http://schemas.microsoft.com/office/drawing/2014/main" id="{156C2907-8B22-4E2F-8A0E-D7DAF173251B}"/>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0" name="CaixaDeTexto 39">
          <a:extLst>
            <a:ext uri="{FF2B5EF4-FFF2-40B4-BE49-F238E27FC236}">
              <a16:creationId xmlns:a16="http://schemas.microsoft.com/office/drawing/2014/main" id="{17808EAB-A18F-4CDA-B421-DABEFD942247}"/>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1" name="CaixaDeTexto 40">
          <a:extLst>
            <a:ext uri="{FF2B5EF4-FFF2-40B4-BE49-F238E27FC236}">
              <a16:creationId xmlns:a16="http://schemas.microsoft.com/office/drawing/2014/main" id="{96323E5A-A6D9-4384-BEA6-23AD88BBDB23}"/>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2" name="CaixaDeTexto 41">
          <a:extLst>
            <a:ext uri="{FF2B5EF4-FFF2-40B4-BE49-F238E27FC236}">
              <a16:creationId xmlns:a16="http://schemas.microsoft.com/office/drawing/2014/main" id="{302B3BBB-04E8-4A6C-BCD7-C50F63997E9C}"/>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3" name="CaixaDeTexto 42">
          <a:extLst>
            <a:ext uri="{FF2B5EF4-FFF2-40B4-BE49-F238E27FC236}">
              <a16:creationId xmlns:a16="http://schemas.microsoft.com/office/drawing/2014/main" id="{78435DB1-751E-49E4-BD86-B7D061D8C8BF}"/>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4" name="CaixaDeTexto 43">
          <a:extLst>
            <a:ext uri="{FF2B5EF4-FFF2-40B4-BE49-F238E27FC236}">
              <a16:creationId xmlns:a16="http://schemas.microsoft.com/office/drawing/2014/main" id="{EF128D0C-F150-48FF-A2C0-8848B5D1B84C}"/>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5" name="CaixaDeTexto 44">
          <a:extLst>
            <a:ext uri="{FF2B5EF4-FFF2-40B4-BE49-F238E27FC236}">
              <a16:creationId xmlns:a16="http://schemas.microsoft.com/office/drawing/2014/main" id="{911D77FF-244D-44A3-8975-994E4DE8DB1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6" name="CaixaDeTexto 45">
          <a:extLst>
            <a:ext uri="{FF2B5EF4-FFF2-40B4-BE49-F238E27FC236}">
              <a16:creationId xmlns:a16="http://schemas.microsoft.com/office/drawing/2014/main" id="{4C822EFD-9AEC-4B30-B3A5-D5DC8B71F6AC}"/>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7" name="CaixaDeTexto 46">
          <a:extLst>
            <a:ext uri="{FF2B5EF4-FFF2-40B4-BE49-F238E27FC236}">
              <a16:creationId xmlns:a16="http://schemas.microsoft.com/office/drawing/2014/main" id="{316B77BB-A9E1-4070-8587-50A4027A9278}"/>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8" name="CaixaDeTexto 47">
          <a:extLst>
            <a:ext uri="{FF2B5EF4-FFF2-40B4-BE49-F238E27FC236}">
              <a16:creationId xmlns:a16="http://schemas.microsoft.com/office/drawing/2014/main" id="{1EAADDFA-F797-4D60-8F0F-1EEFEC121F1D}"/>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49" name="CaixaDeTexto 48">
          <a:extLst>
            <a:ext uri="{FF2B5EF4-FFF2-40B4-BE49-F238E27FC236}">
              <a16:creationId xmlns:a16="http://schemas.microsoft.com/office/drawing/2014/main" id="{A5061C8C-BCCB-410D-84C0-AF9C232E9097}"/>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0" name="CaixaDeTexto 49">
          <a:extLst>
            <a:ext uri="{FF2B5EF4-FFF2-40B4-BE49-F238E27FC236}">
              <a16:creationId xmlns:a16="http://schemas.microsoft.com/office/drawing/2014/main" id="{9BDD970E-77DF-4688-B74D-9294AE6CFEB1}"/>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1" name="CaixaDeTexto 50">
          <a:extLst>
            <a:ext uri="{FF2B5EF4-FFF2-40B4-BE49-F238E27FC236}">
              <a16:creationId xmlns:a16="http://schemas.microsoft.com/office/drawing/2014/main" id="{6F5AE475-FD82-469D-80B6-401C1C4E4F6A}"/>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2" name="CaixaDeTexto 51">
          <a:extLst>
            <a:ext uri="{FF2B5EF4-FFF2-40B4-BE49-F238E27FC236}">
              <a16:creationId xmlns:a16="http://schemas.microsoft.com/office/drawing/2014/main" id="{C47AE8FD-AD78-4F5B-9E19-C530B9359C95}"/>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3" name="CaixaDeTexto 52">
          <a:extLst>
            <a:ext uri="{FF2B5EF4-FFF2-40B4-BE49-F238E27FC236}">
              <a16:creationId xmlns:a16="http://schemas.microsoft.com/office/drawing/2014/main" id="{1F146494-E2DC-484B-9152-AA2F38620A2A}"/>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4" name="CaixaDeTexto 53">
          <a:extLst>
            <a:ext uri="{FF2B5EF4-FFF2-40B4-BE49-F238E27FC236}">
              <a16:creationId xmlns:a16="http://schemas.microsoft.com/office/drawing/2014/main" id="{80CBC3FB-FCFC-45F8-A0E3-86E042BC3130}"/>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5" name="CaixaDeTexto 54">
          <a:extLst>
            <a:ext uri="{FF2B5EF4-FFF2-40B4-BE49-F238E27FC236}">
              <a16:creationId xmlns:a16="http://schemas.microsoft.com/office/drawing/2014/main" id="{2D91F8D9-56CE-447D-9F0F-2F350070A20E}"/>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6" name="CaixaDeTexto 55">
          <a:extLst>
            <a:ext uri="{FF2B5EF4-FFF2-40B4-BE49-F238E27FC236}">
              <a16:creationId xmlns:a16="http://schemas.microsoft.com/office/drawing/2014/main" id="{1C6BA67D-E5C0-4989-A018-DE3BC3392E33}"/>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7" name="CaixaDeTexto 56">
          <a:extLst>
            <a:ext uri="{FF2B5EF4-FFF2-40B4-BE49-F238E27FC236}">
              <a16:creationId xmlns:a16="http://schemas.microsoft.com/office/drawing/2014/main" id="{9B59AA96-C4CE-4488-B56D-0D6979B6CC37}"/>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8" name="CaixaDeTexto 57">
          <a:extLst>
            <a:ext uri="{FF2B5EF4-FFF2-40B4-BE49-F238E27FC236}">
              <a16:creationId xmlns:a16="http://schemas.microsoft.com/office/drawing/2014/main" id="{6ED532A0-9527-4243-80DB-4D48210D0333}"/>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59" name="CaixaDeTexto 58">
          <a:extLst>
            <a:ext uri="{FF2B5EF4-FFF2-40B4-BE49-F238E27FC236}">
              <a16:creationId xmlns:a16="http://schemas.microsoft.com/office/drawing/2014/main" id="{8F3B70DD-1B3C-4D87-8AFD-8F0E7F53D20A}"/>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60" name="CaixaDeTexto 59">
          <a:extLst>
            <a:ext uri="{FF2B5EF4-FFF2-40B4-BE49-F238E27FC236}">
              <a16:creationId xmlns:a16="http://schemas.microsoft.com/office/drawing/2014/main" id="{5FF0C4C7-0425-4121-B4E4-85EBC1255D40}"/>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1</xdr:col>
      <xdr:colOff>4250267</xdr:colOff>
      <xdr:row>7</xdr:row>
      <xdr:rowOff>0</xdr:rowOff>
    </xdr:from>
    <xdr:ext cx="184731" cy="264560"/>
    <xdr:sp macro="" textlink="">
      <xdr:nvSpPr>
        <xdr:cNvPr id="61" name="CaixaDeTexto 60">
          <a:extLst>
            <a:ext uri="{FF2B5EF4-FFF2-40B4-BE49-F238E27FC236}">
              <a16:creationId xmlns:a16="http://schemas.microsoft.com/office/drawing/2014/main" id="{F95CC6DC-F7E6-4697-9E57-CB2C206C1661}"/>
            </a:ext>
          </a:extLst>
        </xdr:cNvPr>
        <xdr:cNvSpPr txBox="1"/>
      </xdr:nvSpPr>
      <xdr:spPr>
        <a:xfrm>
          <a:off x="4294082"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0</xdr:col>
      <xdr:colOff>0</xdr:colOff>
      <xdr:row>7</xdr:row>
      <xdr:rowOff>0</xdr:rowOff>
    </xdr:from>
    <xdr:ext cx="184731" cy="264560"/>
    <xdr:sp macro="" textlink="">
      <xdr:nvSpPr>
        <xdr:cNvPr id="62" name="CaixaDeTexto 61">
          <a:extLst>
            <a:ext uri="{FF2B5EF4-FFF2-40B4-BE49-F238E27FC236}">
              <a16:creationId xmlns:a16="http://schemas.microsoft.com/office/drawing/2014/main" id="{37FAEECD-B7DB-4A75-93BC-A191FCAB68A0}"/>
            </a:ext>
          </a:extLst>
        </xdr:cNvPr>
        <xdr:cNvSpPr txBox="1"/>
      </xdr:nvSpPr>
      <xdr:spPr>
        <a:xfrm>
          <a:off x="0" y="130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0</xdr:col>
      <xdr:colOff>34290</xdr:colOff>
      <xdr:row>9</xdr:row>
      <xdr:rowOff>95250</xdr:rowOff>
    </xdr:from>
    <xdr:ext cx="5569025" cy="950580"/>
    <mc:AlternateContent xmlns:mc="http://schemas.openxmlformats.org/markup-compatibility/2006" xmlns:a14="http://schemas.microsoft.com/office/drawing/2010/main">
      <mc:Choice Requires="a14">
        <xdr:sp macro="" textlink="">
          <xdr:nvSpPr>
            <xdr:cNvPr id="63" name="CaixaDeTexto 62">
              <a:extLst>
                <a:ext uri="{FF2B5EF4-FFF2-40B4-BE49-F238E27FC236}">
                  <a16:creationId xmlns:a16="http://schemas.microsoft.com/office/drawing/2014/main" id="{AC00AE63-5E61-479A-9F82-0BC9E67A6F1B}"/>
                </a:ext>
              </a:extLst>
            </xdr:cNvPr>
            <xdr:cNvSpPr txBox="1"/>
          </xdr:nvSpPr>
          <xdr:spPr>
            <a:xfrm>
              <a:off x="34290" y="1786890"/>
              <a:ext cx="5569025" cy="95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pt-BR" sz="1400" b="0" i="1">
                      <a:latin typeface="Cambria Math" panose="02040503050406030204"/>
                    </a:rPr>
                    <m:t>𝐵𝐷𝐼</m:t>
                  </m:r>
                  <m:r>
                    <a:rPr lang="pt-BR" sz="1400" b="0" i="1">
                      <a:latin typeface="Cambria Math" panose="02040503050406030204"/>
                    </a:rPr>
                    <m:t> = </m:t>
                  </m:r>
                  <m:f>
                    <m:fPr>
                      <m:ctrlPr>
                        <a:rPr lang="pt-BR" sz="1400" i="1">
                          <a:latin typeface="Cambria Math" panose="02040503050406030204" pitchFamily="18" charset="0"/>
                        </a:rPr>
                      </m:ctrlPr>
                    </m:fPr>
                    <m:num>
                      <m:d>
                        <m:dPr>
                          <m:ctrlPr>
                            <a:rPr lang="pt-BR" sz="1400" b="0" i="1">
                              <a:latin typeface="Cambria Math" panose="02040503050406030204" pitchFamily="18" charset="0"/>
                            </a:rPr>
                          </m:ctrlPr>
                        </m:dPr>
                        <m:e>
                          <m:r>
                            <a:rPr lang="pt-BR" sz="1400" b="0" i="1">
                              <a:latin typeface="Cambria Math" panose="02040503050406030204"/>
                            </a:rPr>
                            <m:t>1+</m:t>
                          </m:r>
                          <m:r>
                            <a:rPr lang="pt-BR" sz="1400" b="0" i="1">
                              <a:latin typeface="Cambria Math" panose="02040503050406030204"/>
                            </a:rPr>
                            <m:t>𝐴𝐶</m:t>
                          </m:r>
                          <m:r>
                            <a:rPr lang="pt-BR" sz="1400" b="0" i="1">
                              <a:latin typeface="Cambria Math" panose="02040503050406030204"/>
                            </a:rPr>
                            <m:t>+</m:t>
                          </m:r>
                          <m:r>
                            <a:rPr lang="pt-BR" sz="1400" b="0" i="1">
                              <a:latin typeface="Cambria Math" panose="02040503050406030204"/>
                            </a:rPr>
                            <m:t>𝑅</m:t>
                          </m:r>
                          <m:r>
                            <a:rPr lang="pt-BR" sz="1400" b="0" i="1">
                              <a:latin typeface="Cambria Math" panose="02040503050406030204"/>
                            </a:rPr>
                            <m:t>+</m:t>
                          </m:r>
                          <m:r>
                            <a:rPr lang="pt-BR" sz="1400" b="0" i="1">
                              <a:latin typeface="Cambria Math" panose="02040503050406030204"/>
                            </a:rPr>
                            <m:t>𝐺</m:t>
                          </m:r>
                          <m:r>
                            <a:rPr lang="pt-BR" sz="1400" b="0" i="1">
                              <a:latin typeface="Cambria Math" panose="02040503050406030204"/>
                            </a:rPr>
                            <m:t>+</m:t>
                          </m:r>
                          <m:r>
                            <a:rPr lang="pt-BR" sz="1400" b="0" i="1">
                              <a:latin typeface="Cambria Math" panose="02040503050406030204"/>
                            </a:rPr>
                            <m:t>𝑆</m:t>
                          </m:r>
                          <m:r>
                            <a:rPr lang="pt-BR" sz="1400" b="0" i="1">
                              <a:latin typeface="Cambria Math" panose="02040503050406030204"/>
                            </a:rPr>
                            <m:t> </m:t>
                          </m:r>
                        </m:e>
                      </m:d>
                      <m:r>
                        <a:rPr lang="pt-BR" sz="1400" b="0" i="1">
                          <a:latin typeface="Cambria Math" panose="02040503050406030204"/>
                        </a:rPr>
                        <m:t>𝑥</m:t>
                      </m:r>
                      <m:r>
                        <a:rPr lang="pt-BR" sz="1400" b="0" i="1">
                          <a:latin typeface="Cambria Math" panose="02040503050406030204"/>
                        </a:rPr>
                        <m:t> </m:t>
                      </m:r>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𝐷𝐹</m:t>
                          </m:r>
                          <m:r>
                            <a:rPr lang="pt-BR" sz="1400" b="0" i="1">
                              <a:latin typeface="Cambria Math" panose="02040503050406030204"/>
                            </a:rPr>
                            <m:t> </m:t>
                          </m:r>
                        </m:e>
                      </m:d>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𝐿</m:t>
                          </m:r>
                          <m:r>
                            <a:rPr lang="pt-BR" sz="1400" b="0" i="1">
                              <a:latin typeface="Cambria Math" panose="02040503050406030204"/>
                            </a:rPr>
                            <m:t> </m:t>
                          </m:r>
                        </m:e>
                      </m:d>
                    </m:num>
                    <m:den>
                      <m:r>
                        <a:rPr lang="pt-BR" sz="1400" b="0" i="1">
                          <a:latin typeface="Cambria Math" panose="02040503050406030204"/>
                        </a:rPr>
                        <m:t>(1 −</m:t>
                      </m:r>
                      <m:r>
                        <a:rPr lang="pt-BR" sz="1400" b="0" i="1">
                          <a:latin typeface="Cambria Math" panose="02040503050406030204"/>
                        </a:rPr>
                        <m:t>𝐼</m:t>
                      </m:r>
                      <m:r>
                        <a:rPr lang="pt-BR" sz="1400" b="0" i="1">
                          <a:latin typeface="Cambria Math" panose="02040503050406030204"/>
                        </a:rPr>
                        <m:t> )</m:t>
                      </m:r>
                    </m:den>
                  </m:f>
                  <m:r>
                    <a:rPr lang="pt-BR" sz="1400" b="0" i="1">
                      <a:solidFill>
                        <a:schemeClr val="tx1"/>
                      </a:solidFill>
                      <a:effectLst/>
                      <a:latin typeface="Cambria Math" panose="02040503050406030204" pitchFamily="18" charset="0"/>
                      <a:ea typeface="+mn-ea"/>
                      <a:cs typeface="+mn-cs"/>
                    </a:rPr>
                    <m:t>−1</m:t>
                  </m:r>
                </m:oMath>
              </a14:m>
              <a:r>
                <a:rPr lang="pt-BR" sz="1400">
                  <a:latin typeface="Arial" panose="020B0604020202020204" pitchFamily="7" charset="0"/>
                  <a:cs typeface="Arial" panose="020B0604020202020204" pitchFamily="7" charset="0"/>
                </a:rPr>
                <a:t> </a:t>
              </a:r>
            </a:p>
          </xdr:txBody>
        </xdr:sp>
      </mc:Choice>
      <mc:Fallback xmlns="">
        <xdr:sp macro="" textlink="">
          <xdr:nvSpPr>
            <xdr:cNvPr id="63" name="CaixaDeTexto 62">
              <a:extLst>
                <a:ext uri="{FF2B5EF4-FFF2-40B4-BE49-F238E27FC236}">
                  <a16:creationId xmlns:a16="http://schemas.microsoft.com/office/drawing/2014/main" id="{AC00AE63-5E61-479A-9F82-0BC9E67A6F1B}"/>
                </a:ext>
              </a:extLst>
            </xdr:cNvPr>
            <xdr:cNvSpPr txBox="1"/>
          </xdr:nvSpPr>
          <xdr:spPr>
            <a:xfrm>
              <a:off x="34290" y="1786890"/>
              <a:ext cx="5569025" cy="95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400" b="0" i="0">
                  <a:latin typeface="Cambria Math" panose="02040503050406030204"/>
                </a:rPr>
                <a:t>𝐵𝐷𝐼 = </a:t>
              </a:r>
              <a:r>
                <a:rPr lang="pt-BR" sz="1400" b="0" i="0">
                  <a:latin typeface="Cambria Math" panose="02040503050406030204" pitchFamily="18" charset="0"/>
                </a:rPr>
                <a:t> ((</a:t>
              </a:r>
              <a:r>
                <a:rPr lang="pt-BR" sz="1400" b="0" i="0">
                  <a:latin typeface="Cambria Math" panose="02040503050406030204"/>
                </a:rPr>
                <a:t>1+𝐴𝐶+𝑅+𝐺+𝑆 </a:t>
              </a:r>
              <a:r>
                <a:rPr lang="pt-BR" sz="1400" b="0" i="0">
                  <a:latin typeface="Cambria Math" panose="02040503050406030204" pitchFamily="18" charset="0"/>
                </a:rPr>
                <a:t>)</a:t>
              </a:r>
              <a:r>
                <a:rPr lang="pt-BR" sz="1400" b="0" i="0">
                  <a:latin typeface="Cambria Math" panose="02040503050406030204"/>
                </a:rPr>
                <a:t>𝑥 </a:t>
              </a:r>
              <a:r>
                <a:rPr lang="pt-BR" sz="1400" b="0" i="0">
                  <a:latin typeface="Cambria Math" panose="02040503050406030204" pitchFamily="18" charset="0"/>
                </a:rPr>
                <a:t>(</a:t>
              </a:r>
              <a:r>
                <a:rPr lang="pt-BR" sz="1400" b="0" i="0">
                  <a:latin typeface="Cambria Math" panose="02040503050406030204"/>
                </a:rPr>
                <a:t> 1+𝐷𝐹 </a:t>
              </a:r>
              <a:r>
                <a:rPr lang="pt-BR" sz="1400" b="0" i="0">
                  <a:latin typeface="Cambria Math" panose="02040503050406030204" pitchFamily="18" charset="0"/>
                </a:rPr>
                <a:t>)(</a:t>
              </a:r>
              <a:r>
                <a:rPr lang="pt-BR" sz="1400" b="0" i="0">
                  <a:latin typeface="Cambria Math" panose="02040503050406030204"/>
                </a:rPr>
                <a:t> 1+𝐿 </a:t>
              </a:r>
              <a:r>
                <a:rPr lang="pt-BR" sz="1400" b="0" i="0">
                  <a:latin typeface="Cambria Math" panose="02040503050406030204" pitchFamily="18" charset="0"/>
                </a:rPr>
                <a:t>))/(</a:t>
              </a:r>
              <a:r>
                <a:rPr lang="pt-BR" sz="1400" b="0" i="0">
                  <a:latin typeface="Cambria Math" panose="02040503050406030204"/>
                </a:rPr>
                <a:t>(1 −𝐼 )</a:t>
              </a:r>
              <a:r>
                <a:rPr lang="pt-BR" sz="1400" b="0" i="0">
                  <a:latin typeface="Cambria Math" panose="02040503050406030204" pitchFamily="18" charset="0"/>
                </a:rPr>
                <a:t>)</a:t>
              </a:r>
              <a:r>
                <a:rPr lang="pt-BR" sz="1400" b="0" i="0">
                  <a:solidFill>
                    <a:schemeClr val="tx1"/>
                  </a:solidFill>
                  <a:effectLst/>
                  <a:latin typeface="Cambria Math" panose="02040503050406030204" pitchFamily="18" charset="0"/>
                  <a:ea typeface="+mn-ea"/>
                  <a:cs typeface="+mn-cs"/>
                </a:rPr>
                <a:t>−1</a:t>
              </a:r>
              <a:r>
                <a:rPr lang="pt-BR" sz="1400">
                  <a:latin typeface="Arial" panose="020B0604020202020204" pitchFamily="7" charset="0"/>
                  <a:cs typeface="Arial" panose="020B0604020202020204" pitchFamily="7" charset="0"/>
                </a:rPr>
                <a:t> </a:t>
              </a:r>
            </a:p>
          </xdr:txBody>
        </xdr:sp>
      </mc:Fallback>
    </mc:AlternateContent>
    <xdr:clientData/>
  </xdr:oneCellAnchor>
  <xdr:oneCellAnchor>
    <xdr:from>
      <xdr:col>0</xdr:col>
      <xdr:colOff>0</xdr:colOff>
      <xdr:row>18</xdr:row>
      <xdr:rowOff>0</xdr:rowOff>
    </xdr:from>
    <xdr:ext cx="184731" cy="264560"/>
    <xdr:sp macro="" textlink="">
      <xdr:nvSpPr>
        <xdr:cNvPr id="64" name="CaixaDeTexto 63">
          <a:extLst>
            <a:ext uri="{FF2B5EF4-FFF2-40B4-BE49-F238E27FC236}">
              <a16:creationId xmlns:a16="http://schemas.microsoft.com/office/drawing/2014/main" id="{A06133C0-0D1C-40B9-A6E6-A8898C3C9D07}"/>
            </a:ext>
          </a:extLst>
        </xdr:cNvPr>
        <xdr:cNvSpPr txBox="1"/>
      </xdr:nvSpPr>
      <xdr:spPr>
        <a:xfrm>
          <a:off x="0"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0</xdr:col>
      <xdr:colOff>34290</xdr:colOff>
      <xdr:row>20</xdr:row>
      <xdr:rowOff>95250</xdr:rowOff>
    </xdr:from>
    <xdr:ext cx="5569025" cy="958308"/>
    <mc:AlternateContent xmlns:mc="http://schemas.openxmlformats.org/markup-compatibility/2006" xmlns:a14="http://schemas.microsoft.com/office/drawing/2010/main">
      <mc:Choice Requires="a14">
        <xdr:sp macro="" textlink="">
          <xdr:nvSpPr>
            <xdr:cNvPr id="65" name="CaixaDeTexto 64">
              <a:extLst>
                <a:ext uri="{FF2B5EF4-FFF2-40B4-BE49-F238E27FC236}">
                  <a16:creationId xmlns:a16="http://schemas.microsoft.com/office/drawing/2014/main" id="{B3568B78-32C6-48EC-8402-7454FF79FC99}"/>
                </a:ext>
              </a:extLst>
            </xdr:cNvPr>
            <xdr:cNvSpPr txBox="1"/>
          </xdr:nvSpPr>
          <xdr:spPr>
            <a:xfrm>
              <a:off x="34290" y="3882390"/>
              <a:ext cx="5569025" cy="95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pt-BR" sz="1400" b="0" i="1">
                      <a:latin typeface="Cambria Math" panose="02040503050406030204"/>
                    </a:rPr>
                    <m:t>𝐵𝐷𝐼</m:t>
                  </m:r>
                  <m:r>
                    <a:rPr lang="pt-BR" sz="1400" b="0" i="1">
                      <a:latin typeface="Cambria Math" panose="02040503050406030204"/>
                    </a:rPr>
                    <m:t> = </m:t>
                  </m:r>
                  <m:f>
                    <m:fPr>
                      <m:ctrlPr>
                        <a:rPr lang="pt-BR" sz="1400" i="1">
                          <a:latin typeface="Cambria Math" panose="02040503050406030204" pitchFamily="18" charset="0"/>
                        </a:rPr>
                      </m:ctrlPr>
                    </m:fPr>
                    <m:num>
                      <m:d>
                        <m:dPr>
                          <m:ctrlPr>
                            <a:rPr lang="pt-BR" sz="1400" b="0" i="1">
                              <a:latin typeface="Cambria Math" panose="02040503050406030204" pitchFamily="18" charset="0"/>
                            </a:rPr>
                          </m:ctrlPr>
                        </m:dPr>
                        <m:e>
                          <m:r>
                            <a:rPr lang="pt-BR" sz="1400" b="0" i="1">
                              <a:latin typeface="Cambria Math" panose="02040503050406030204"/>
                            </a:rPr>
                            <m:t>1+</m:t>
                          </m:r>
                          <m:r>
                            <a:rPr lang="pt-BR" sz="1400" b="0" i="1">
                              <a:latin typeface="Cambria Math" panose="02040503050406030204"/>
                            </a:rPr>
                            <m:t>𝐴𝐶</m:t>
                          </m:r>
                          <m:r>
                            <a:rPr lang="pt-BR" sz="1400" b="0" i="1">
                              <a:latin typeface="Cambria Math" panose="02040503050406030204"/>
                            </a:rPr>
                            <m:t>+</m:t>
                          </m:r>
                          <m:r>
                            <a:rPr lang="pt-BR" sz="1400" b="0" i="1">
                              <a:latin typeface="Cambria Math" panose="02040503050406030204"/>
                            </a:rPr>
                            <m:t>𝑅</m:t>
                          </m:r>
                          <m:r>
                            <a:rPr lang="pt-BR" sz="1400" b="0" i="1">
                              <a:latin typeface="Cambria Math" panose="02040503050406030204"/>
                            </a:rPr>
                            <m:t>+</m:t>
                          </m:r>
                          <m:r>
                            <a:rPr lang="pt-BR" sz="1400" b="0" i="1">
                              <a:latin typeface="Cambria Math" panose="02040503050406030204"/>
                            </a:rPr>
                            <m:t>𝐺</m:t>
                          </m:r>
                          <m:r>
                            <a:rPr lang="pt-BR" sz="1400" b="0" i="1">
                              <a:latin typeface="Cambria Math" panose="02040503050406030204"/>
                            </a:rPr>
                            <m:t>+</m:t>
                          </m:r>
                          <m:r>
                            <a:rPr lang="pt-BR" sz="1400" b="0" i="1">
                              <a:latin typeface="Cambria Math" panose="02040503050406030204"/>
                            </a:rPr>
                            <m:t>𝑆</m:t>
                          </m:r>
                          <m:r>
                            <a:rPr lang="pt-BR" sz="1400" b="0" i="1">
                              <a:latin typeface="Cambria Math" panose="02040503050406030204"/>
                            </a:rPr>
                            <m:t> </m:t>
                          </m:r>
                        </m:e>
                      </m:d>
                      <m:r>
                        <a:rPr lang="pt-BR" sz="1400" b="0" i="1">
                          <a:latin typeface="Cambria Math" panose="02040503050406030204"/>
                        </a:rPr>
                        <m:t>𝑥</m:t>
                      </m:r>
                      <m:r>
                        <a:rPr lang="pt-BR" sz="1400" b="0" i="1">
                          <a:latin typeface="Cambria Math" panose="02040503050406030204"/>
                        </a:rPr>
                        <m:t> </m:t>
                      </m:r>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𝐷𝐹</m:t>
                          </m:r>
                          <m:r>
                            <a:rPr lang="pt-BR" sz="1400" b="0" i="1">
                              <a:latin typeface="Cambria Math" panose="02040503050406030204"/>
                            </a:rPr>
                            <m:t> </m:t>
                          </m:r>
                        </m:e>
                      </m:d>
                      <m:d>
                        <m:dPr>
                          <m:ctrlPr>
                            <a:rPr lang="pt-BR" sz="1400" b="0" i="1">
                              <a:latin typeface="Cambria Math" panose="02040503050406030204" pitchFamily="18" charset="0"/>
                            </a:rPr>
                          </m:ctrlPr>
                        </m:dPr>
                        <m:e>
                          <m:r>
                            <a:rPr lang="pt-BR" sz="1400" b="0" i="1">
                              <a:latin typeface="Cambria Math" panose="02040503050406030204"/>
                            </a:rPr>
                            <m:t> 1+</m:t>
                          </m:r>
                          <m:r>
                            <a:rPr lang="pt-BR" sz="1400" b="0" i="1">
                              <a:latin typeface="Cambria Math" panose="02040503050406030204"/>
                            </a:rPr>
                            <m:t>𝐿</m:t>
                          </m:r>
                          <m:r>
                            <a:rPr lang="pt-BR" sz="1400" b="0" i="1">
                              <a:latin typeface="Cambria Math" panose="02040503050406030204"/>
                            </a:rPr>
                            <m:t> </m:t>
                          </m:r>
                        </m:e>
                      </m:d>
                    </m:num>
                    <m:den>
                      <m:r>
                        <a:rPr lang="pt-BR" sz="1400" b="0" i="1">
                          <a:latin typeface="Cambria Math" panose="02040503050406030204"/>
                        </a:rPr>
                        <m:t>(1 −</m:t>
                      </m:r>
                      <m:r>
                        <a:rPr lang="pt-BR" sz="1400" b="0" i="1">
                          <a:latin typeface="Cambria Math" panose="02040503050406030204"/>
                        </a:rPr>
                        <m:t>𝐼</m:t>
                      </m:r>
                      <m:r>
                        <a:rPr lang="pt-BR" sz="1400" b="0" i="1">
                          <a:latin typeface="Cambria Math" panose="02040503050406030204"/>
                        </a:rPr>
                        <m:t> )</m:t>
                      </m:r>
                    </m:den>
                  </m:f>
                  <m:r>
                    <a:rPr lang="pt-BR" sz="1400" b="0" i="1">
                      <a:solidFill>
                        <a:schemeClr val="tx1"/>
                      </a:solidFill>
                      <a:effectLst/>
                      <a:latin typeface="Cambria Math" panose="02040503050406030204" pitchFamily="18" charset="0"/>
                      <a:ea typeface="+mn-ea"/>
                      <a:cs typeface="+mn-cs"/>
                    </a:rPr>
                    <m:t>−1</m:t>
                  </m:r>
                </m:oMath>
              </a14:m>
              <a:r>
                <a:rPr lang="pt-BR" sz="1400">
                  <a:latin typeface="Arial" panose="020B0604020202020204" pitchFamily="7" charset="0"/>
                  <a:cs typeface="Arial" panose="020B0604020202020204" pitchFamily="7" charset="0"/>
                </a:rPr>
                <a:t> </a:t>
              </a:r>
            </a:p>
          </xdr:txBody>
        </xdr:sp>
      </mc:Choice>
      <mc:Fallback xmlns="">
        <xdr:sp macro="" textlink="">
          <xdr:nvSpPr>
            <xdr:cNvPr id="65" name="CaixaDeTexto 64">
              <a:extLst>
                <a:ext uri="{FF2B5EF4-FFF2-40B4-BE49-F238E27FC236}">
                  <a16:creationId xmlns:a16="http://schemas.microsoft.com/office/drawing/2014/main" id="{B3568B78-32C6-48EC-8402-7454FF79FC99}"/>
                </a:ext>
              </a:extLst>
            </xdr:cNvPr>
            <xdr:cNvSpPr txBox="1"/>
          </xdr:nvSpPr>
          <xdr:spPr>
            <a:xfrm>
              <a:off x="34290" y="3882390"/>
              <a:ext cx="5569025" cy="95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400" b="0" i="0">
                  <a:latin typeface="Cambria Math" panose="02040503050406030204"/>
                </a:rPr>
                <a:t>𝐵𝐷𝐼 = </a:t>
              </a:r>
              <a:r>
                <a:rPr lang="pt-BR" sz="1400" b="0" i="0">
                  <a:latin typeface="Cambria Math" panose="02040503050406030204" pitchFamily="18" charset="0"/>
                </a:rPr>
                <a:t> ((</a:t>
              </a:r>
              <a:r>
                <a:rPr lang="pt-BR" sz="1400" b="0" i="0">
                  <a:latin typeface="Cambria Math" panose="02040503050406030204"/>
                </a:rPr>
                <a:t>1+𝐴𝐶+𝑅+𝐺+𝑆 </a:t>
              </a:r>
              <a:r>
                <a:rPr lang="pt-BR" sz="1400" b="0" i="0">
                  <a:latin typeface="Cambria Math" panose="02040503050406030204" pitchFamily="18" charset="0"/>
                </a:rPr>
                <a:t>)</a:t>
              </a:r>
              <a:r>
                <a:rPr lang="pt-BR" sz="1400" b="0" i="0">
                  <a:latin typeface="Cambria Math" panose="02040503050406030204"/>
                </a:rPr>
                <a:t>𝑥 </a:t>
              </a:r>
              <a:r>
                <a:rPr lang="pt-BR" sz="1400" b="0" i="0">
                  <a:latin typeface="Cambria Math" panose="02040503050406030204" pitchFamily="18" charset="0"/>
                </a:rPr>
                <a:t>(</a:t>
              </a:r>
              <a:r>
                <a:rPr lang="pt-BR" sz="1400" b="0" i="0">
                  <a:latin typeface="Cambria Math" panose="02040503050406030204"/>
                </a:rPr>
                <a:t> 1+𝐷𝐹 </a:t>
              </a:r>
              <a:r>
                <a:rPr lang="pt-BR" sz="1400" b="0" i="0">
                  <a:latin typeface="Cambria Math" panose="02040503050406030204" pitchFamily="18" charset="0"/>
                </a:rPr>
                <a:t>)(</a:t>
              </a:r>
              <a:r>
                <a:rPr lang="pt-BR" sz="1400" b="0" i="0">
                  <a:latin typeface="Cambria Math" panose="02040503050406030204"/>
                </a:rPr>
                <a:t> 1+𝐿 </a:t>
              </a:r>
              <a:r>
                <a:rPr lang="pt-BR" sz="1400" b="0" i="0">
                  <a:latin typeface="Cambria Math" panose="02040503050406030204" pitchFamily="18" charset="0"/>
                </a:rPr>
                <a:t>))/(</a:t>
              </a:r>
              <a:r>
                <a:rPr lang="pt-BR" sz="1400" b="0" i="0">
                  <a:latin typeface="Cambria Math" panose="02040503050406030204"/>
                </a:rPr>
                <a:t>(1 −𝐼 )</a:t>
              </a:r>
              <a:r>
                <a:rPr lang="pt-BR" sz="1400" b="0" i="0">
                  <a:latin typeface="Cambria Math" panose="02040503050406030204" pitchFamily="18" charset="0"/>
                </a:rPr>
                <a:t>)</a:t>
              </a:r>
              <a:r>
                <a:rPr lang="pt-BR" sz="1400" b="0" i="0">
                  <a:solidFill>
                    <a:schemeClr val="tx1"/>
                  </a:solidFill>
                  <a:effectLst/>
                  <a:latin typeface="Cambria Math" panose="02040503050406030204" pitchFamily="18" charset="0"/>
                  <a:ea typeface="+mn-ea"/>
                  <a:cs typeface="+mn-cs"/>
                </a:rPr>
                <a:t>−1</a:t>
              </a:r>
              <a:r>
                <a:rPr lang="pt-BR" sz="1400">
                  <a:latin typeface="Arial" panose="020B0604020202020204" pitchFamily="7" charset="0"/>
                  <a:cs typeface="Arial" panose="020B0604020202020204" pitchFamily="7" charset="0"/>
                </a:rPr>
                <a:t> </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CaixaDeTexto 1">
          <a:extLst>
            <a:ext uri="{FF2B5EF4-FFF2-40B4-BE49-F238E27FC236}">
              <a16:creationId xmlns:a16="http://schemas.microsoft.com/office/drawing/2014/main" id="{7F44780B-2601-4ECB-95B9-5CB65D02AC85}"/>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0</xdr:col>
      <xdr:colOff>0</xdr:colOff>
      <xdr:row>0</xdr:row>
      <xdr:rowOff>0</xdr:rowOff>
    </xdr:from>
    <xdr:ext cx="184731" cy="264560"/>
    <xdr:sp macro="" textlink="">
      <xdr:nvSpPr>
        <xdr:cNvPr id="3" name="CaixaDeTexto 3">
          <a:extLst>
            <a:ext uri="{FF2B5EF4-FFF2-40B4-BE49-F238E27FC236}">
              <a16:creationId xmlns:a16="http://schemas.microsoft.com/office/drawing/2014/main" id="{8713B265-9835-411C-BAC3-FC4DE3544245}"/>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RV\Desktop\LORENA\OR&#199;AMENTOS\CENTRO%20DE%20INOVA&#199;&#195;O\REFORMA.CENTRO.DE.INOVA&#199;&#195;O.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niRV\Downloads\REFORMA.CENTRO.DE.INOVA&#199;&#195;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ória de Cálculo"/>
      <sheetName val="Cotações"/>
      <sheetName val="Memorial Descritivo"/>
    </sheetNames>
    <sheetDataSet>
      <sheetData sheetId="0">
        <row r="3">
          <cell r="A3" t="str">
            <v xml:space="preserve">OBRA: </v>
          </cell>
        </row>
        <row r="4">
          <cell r="A4" t="str">
            <v>LOCAL:</v>
          </cell>
        </row>
        <row r="5">
          <cell r="A5" t="str">
            <v xml:space="preserve">DATA: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ória de Cálculo"/>
      <sheetName val="Memorial Descritivo"/>
      <sheetName val="Cotações"/>
    </sheetNames>
    <sheetDataSet>
      <sheetData sheetId="0">
        <row r="9">
          <cell r="A9"/>
        </row>
        <row r="10">
          <cell r="A10"/>
        </row>
        <row r="11">
          <cell r="A11" t="str">
            <v>1.1</v>
          </cell>
        </row>
        <row r="19">
          <cell r="A19"/>
        </row>
        <row r="20">
          <cell r="A20"/>
        </row>
        <row r="59">
          <cell r="A59"/>
        </row>
        <row r="60">
          <cell r="A60"/>
        </row>
        <row r="61">
          <cell r="A61"/>
        </row>
        <row r="62">
          <cell r="A62"/>
        </row>
        <row r="63">
          <cell r="A63"/>
        </row>
        <row r="64">
          <cell r="A64"/>
        </row>
        <row r="65">
          <cell r="A65"/>
        </row>
        <row r="66">
          <cell r="A66"/>
        </row>
        <row r="67">
          <cell r="A67"/>
        </row>
        <row r="68">
          <cell r="A68" t="str">
            <v>1.4</v>
          </cell>
        </row>
        <row r="71">
          <cell r="A71" t="str">
            <v>1.5</v>
          </cell>
        </row>
        <row r="103">
          <cell r="A103"/>
        </row>
        <row r="104">
          <cell r="A104" t="str">
            <v>1.6</v>
          </cell>
        </row>
        <row r="129">
          <cell r="A129"/>
        </row>
        <row r="130">
          <cell r="A130"/>
        </row>
        <row r="131">
          <cell r="A131" t="str">
            <v>1.8</v>
          </cell>
        </row>
        <row r="135">
          <cell r="A135"/>
        </row>
        <row r="136">
          <cell r="A136"/>
        </row>
        <row r="137">
          <cell r="A137"/>
        </row>
        <row r="138">
          <cell r="A138"/>
        </row>
        <row r="139">
          <cell r="A139"/>
        </row>
        <row r="140">
          <cell r="A140"/>
        </row>
        <row r="141">
          <cell r="A141"/>
        </row>
        <row r="144">
          <cell r="A144"/>
        </row>
        <row r="145">
          <cell r="A145" t="str">
            <v>1.9</v>
          </cell>
        </row>
        <row r="201">
          <cell r="A201"/>
        </row>
        <row r="202">
          <cell r="A202"/>
        </row>
        <row r="203">
          <cell r="A203"/>
        </row>
        <row r="204">
          <cell r="A204"/>
        </row>
        <row r="205">
          <cell r="A205"/>
        </row>
        <row r="206">
          <cell r="A206" t="str">
            <v>1.11</v>
          </cell>
        </row>
        <row r="231">
          <cell r="A231"/>
        </row>
        <row r="232">
          <cell r="A232"/>
        </row>
        <row r="233">
          <cell r="A233"/>
        </row>
        <row r="234">
          <cell r="A234" t="str">
            <v>1.12</v>
          </cell>
        </row>
        <row r="244">
          <cell r="A244" t="str">
            <v>1.13</v>
          </cell>
        </row>
        <row r="319">
          <cell r="A319" t="str">
            <v>1.18</v>
          </cell>
        </row>
        <row r="323">
          <cell r="A323" t="str">
            <v>1.19</v>
          </cell>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t="str">
            <v>1.20</v>
          </cell>
        </row>
        <row r="348">
          <cell r="A348"/>
        </row>
        <row r="349">
          <cell r="A349"/>
        </row>
        <row r="350">
          <cell r="A350" t="str">
            <v>1.21</v>
          </cell>
        </row>
        <row r="472">
          <cell r="A472"/>
        </row>
        <row r="473">
          <cell r="A473"/>
        </row>
        <row r="474">
          <cell r="A474"/>
        </row>
        <row r="487">
          <cell r="A487"/>
        </row>
        <row r="488">
          <cell r="A488" t="str">
            <v>3.2</v>
          </cell>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30">
          <cell r="A530"/>
        </row>
        <row r="531">
          <cell r="A531"/>
        </row>
        <row r="532">
          <cell r="A532"/>
        </row>
        <row r="533">
          <cell r="A533"/>
        </row>
        <row r="534">
          <cell r="A534"/>
        </row>
        <row r="535">
          <cell r="A535"/>
        </row>
        <row r="536">
          <cell r="A536"/>
        </row>
        <row r="537">
          <cell r="A537"/>
        </row>
        <row r="538">
          <cell r="A538"/>
        </row>
        <row r="539">
          <cell r="A539"/>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v>4</v>
          </cell>
        </row>
        <row r="566">
          <cell r="A566" t="str">
            <v>4.2</v>
          </cell>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v>5</v>
          </cell>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t="str">
            <v>5.1</v>
          </cell>
        </row>
        <row r="657">
          <cell r="A657"/>
        </row>
        <row r="658">
          <cell r="A658"/>
        </row>
        <row r="659">
          <cell r="A659" t="str">
            <v>5.2</v>
          </cell>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t="str">
            <v>5.3</v>
          </cell>
        </row>
        <row r="702">
          <cell r="A702"/>
        </row>
        <row r="703">
          <cell r="A703"/>
        </row>
        <row r="704">
          <cell r="A704"/>
        </row>
        <row r="705">
          <cell r="A705"/>
        </row>
        <row r="706">
          <cell r="A706"/>
        </row>
        <row r="707">
          <cell r="A707"/>
        </row>
        <row r="708">
          <cell r="A708"/>
        </row>
        <row r="709">
          <cell r="A709"/>
        </row>
        <row r="710">
          <cell r="A710"/>
        </row>
        <row r="711">
          <cell r="A711"/>
        </row>
        <row r="717">
          <cell r="A717" t="str">
            <v>5.5</v>
          </cell>
        </row>
        <row r="721">
          <cell r="A721"/>
        </row>
        <row r="722">
          <cell r="A722"/>
        </row>
        <row r="723">
          <cell r="A723"/>
        </row>
        <row r="724">
          <cell r="A724"/>
        </row>
        <row r="725">
          <cell r="A725"/>
        </row>
        <row r="726">
          <cell r="A726"/>
        </row>
        <row r="727">
          <cell r="A727" t="str">
            <v>5.6</v>
          </cell>
        </row>
        <row r="1327">
          <cell r="A1327"/>
        </row>
        <row r="1328">
          <cell r="A1328"/>
        </row>
        <row r="1329">
          <cell r="A1329"/>
        </row>
        <row r="1330">
          <cell r="A1330"/>
        </row>
        <row r="1331">
          <cell r="A1331"/>
        </row>
        <row r="1332">
          <cell r="A1332" t="str">
            <v>5.35</v>
          </cell>
        </row>
        <row r="1337">
          <cell r="A1337"/>
        </row>
        <row r="1338">
          <cell r="A1338"/>
        </row>
        <row r="1339">
          <cell r="A1339"/>
        </row>
        <row r="1340">
          <cell r="A1340"/>
        </row>
        <row r="1341">
          <cell r="A1341"/>
        </row>
        <row r="1342">
          <cell r="A1342"/>
        </row>
        <row r="1343">
          <cell r="A1343"/>
        </row>
        <row r="1344">
          <cell r="A1344"/>
        </row>
        <row r="1345">
          <cell r="A1345"/>
        </row>
        <row r="1346">
          <cell r="A1346"/>
        </row>
        <row r="1347">
          <cell r="A1347"/>
        </row>
        <row r="1348">
          <cell r="A1348"/>
        </row>
        <row r="1349">
          <cell r="A1349"/>
        </row>
        <row r="1350">
          <cell r="A1350"/>
        </row>
        <row r="1351">
          <cell r="A1351"/>
        </row>
        <row r="1352">
          <cell r="A1352"/>
        </row>
        <row r="1353">
          <cell r="A1353"/>
        </row>
        <row r="1354">
          <cell r="A1354"/>
        </row>
        <row r="1355">
          <cell r="A1355"/>
        </row>
        <row r="1356">
          <cell r="A1356"/>
        </row>
        <row r="1357">
          <cell r="A1357"/>
        </row>
        <row r="1358">
          <cell r="A1358"/>
        </row>
        <row r="1359">
          <cell r="A1359"/>
        </row>
        <row r="1360">
          <cell r="A1360"/>
        </row>
        <row r="1361">
          <cell r="A1361"/>
        </row>
        <row r="1362">
          <cell r="A1362"/>
        </row>
        <row r="1363">
          <cell r="A1363"/>
        </row>
        <row r="1364">
          <cell r="A1364"/>
        </row>
        <row r="1365">
          <cell r="A1365"/>
        </row>
        <row r="1366">
          <cell r="A1366" t="str">
            <v>5.36</v>
          </cell>
        </row>
        <row r="1370">
          <cell r="A1370"/>
        </row>
        <row r="1371">
          <cell r="A1371"/>
        </row>
        <row r="1372">
          <cell r="A1372"/>
        </row>
        <row r="1373">
          <cell r="A1373"/>
        </row>
        <row r="1374">
          <cell r="A1374"/>
        </row>
        <row r="1375">
          <cell r="A1375"/>
        </row>
        <row r="1376">
          <cell r="A1376"/>
        </row>
        <row r="1377">
          <cell r="A1377"/>
        </row>
        <row r="1378">
          <cell r="A1378"/>
        </row>
        <row r="1379">
          <cell r="A1379"/>
        </row>
        <row r="1380">
          <cell r="A1380"/>
        </row>
        <row r="1381">
          <cell r="A1381"/>
        </row>
        <row r="1382">
          <cell r="A1382"/>
        </row>
        <row r="1383">
          <cell r="A1383"/>
        </row>
        <row r="1384">
          <cell r="A1384"/>
        </row>
        <row r="1385">
          <cell r="A1385"/>
        </row>
        <row r="1386">
          <cell r="A1386"/>
        </row>
        <row r="1387">
          <cell r="A1387"/>
        </row>
        <row r="1388">
          <cell r="A1388"/>
        </row>
        <row r="1389">
          <cell r="A1389"/>
        </row>
        <row r="1390">
          <cell r="A1390"/>
        </row>
        <row r="1391">
          <cell r="A1391"/>
        </row>
        <row r="1392">
          <cell r="A1392"/>
        </row>
        <row r="1393">
          <cell r="A1393"/>
        </row>
        <row r="1394">
          <cell r="A1394"/>
        </row>
        <row r="1395">
          <cell r="A1395"/>
        </row>
        <row r="1396">
          <cell r="A1396"/>
        </row>
        <row r="1397">
          <cell r="A1397"/>
        </row>
        <row r="1398">
          <cell r="A1398"/>
        </row>
        <row r="1399">
          <cell r="A1399"/>
        </row>
        <row r="1400">
          <cell r="A1400"/>
        </row>
        <row r="1401">
          <cell r="A1401"/>
        </row>
        <row r="1402">
          <cell r="A1402"/>
        </row>
        <row r="1403">
          <cell r="A1403"/>
        </row>
        <row r="1404">
          <cell r="A1404"/>
        </row>
        <row r="1405">
          <cell r="A1405"/>
        </row>
        <row r="1406">
          <cell r="A1406"/>
        </row>
        <row r="1407">
          <cell r="A1407"/>
        </row>
        <row r="1408">
          <cell r="A1408"/>
        </row>
        <row r="1409">
          <cell r="A1409"/>
        </row>
        <row r="1410">
          <cell r="A1410"/>
        </row>
        <row r="1411">
          <cell r="A1411"/>
        </row>
        <row r="1412">
          <cell r="A1412"/>
        </row>
        <row r="1413">
          <cell r="A1413"/>
        </row>
        <row r="1414">
          <cell r="A1414"/>
        </row>
        <row r="1415">
          <cell r="A1415" t="str">
            <v>5.37</v>
          </cell>
        </row>
        <row r="1420">
          <cell r="A1420"/>
        </row>
        <row r="1421">
          <cell r="A1421"/>
        </row>
        <row r="1422">
          <cell r="A1422"/>
        </row>
        <row r="1423">
          <cell r="A1423"/>
        </row>
        <row r="1424">
          <cell r="A1424"/>
        </row>
        <row r="1425">
          <cell r="A1425"/>
        </row>
        <row r="1426">
          <cell r="A1426"/>
        </row>
        <row r="1427">
          <cell r="A1427"/>
        </row>
        <row r="1428">
          <cell r="A1428"/>
        </row>
        <row r="1429">
          <cell r="A1429"/>
        </row>
        <row r="1430">
          <cell r="A1430"/>
        </row>
        <row r="1431">
          <cell r="A1431"/>
        </row>
        <row r="1432">
          <cell r="A1432"/>
        </row>
        <row r="1433">
          <cell r="A1433"/>
        </row>
        <row r="1434">
          <cell r="A1434"/>
        </row>
        <row r="1435">
          <cell r="A1435"/>
        </row>
        <row r="1436">
          <cell r="A1436"/>
        </row>
        <row r="1437">
          <cell r="A1437"/>
        </row>
        <row r="1438">
          <cell r="A1438" t="str">
            <v>5.38</v>
          </cell>
        </row>
        <row r="1442">
          <cell r="A1442"/>
        </row>
        <row r="1443">
          <cell r="A1443"/>
        </row>
        <row r="1444">
          <cell r="A1444"/>
        </row>
        <row r="1445">
          <cell r="A1445"/>
        </row>
        <row r="1446">
          <cell r="A1446"/>
        </row>
        <row r="1447">
          <cell r="A1447"/>
        </row>
        <row r="1448">
          <cell r="A1448"/>
        </row>
        <row r="1449">
          <cell r="A1449"/>
        </row>
        <row r="1450">
          <cell r="A1450"/>
        </row>
        <row r="1451">
          <cell r="A1451"/>
        </row>
        <row r="1452">
          <cell r="A1452" t="str">
            <v>5.39</v>
          </cell>
        </row>
        <row r="1464">
          <cell r="A1464"/>
        </row>
        <row r="1465">
          <cell r="A1465"/>
        </row>
        <row r="1466">
          <cell r="A1466"/>
        </row>
        <row r="1467">
          <cell r="A1467"/>
        </row>
        <row r="1468">
          <cell r="A1468"/>
        </row>
        <row r="1469">
          <cell r="A1469"/>
        </row>
        <row r="1470">
          <cell r="A1470"/>
        </row>
        <row r="1471">
          <cell r="A1471"/>
        </row>
        <row r="1472">
          <cell r="A1472"/>
        </row>
        <row r="1473">
          <cell r="A1473"/>
        </row>
        <row r="1474">
          <cell r="A1474"/>
        </row>
        <row r="1475">
          <cell r="A1475"/>
        </row>
        <row r="1476">
          <cell r="A1476" t="str">
            <v>5.42</v>
          </cell>
        </row>
        <row r="1481">
          <cell r="A1481"/>
        </row>
        <row r="1482">
          <cell r="A1482"/>
        </row>
        <row r="1483">
          <cell r="A1483" t="str">
            <v>5.43</v>
          </cell>
        </row>
        <row r="1495">
          <cell r="A1495"/>
        </row>
        <row r="1496">
          <cell r="A1496"/>
        </row>
        <row r="1497">
          <cell r="A1497"/>
        </row>
        <row r="1498">
          <cell r="A1498"/>
        </row>
        <row r="1499">
          <cell r="A1499"/>
        </row>
        <row r="1500">
          <cell r="A1500"/>
        </row>
        <row r="1501">
          <cell r="A1501"/>
        </row>
        <row r="1502">
          <cell r="A1502"/>
        </row>
        <row r="1503">
          <cell r="A1503"/>
        </row>
        <row r="1504">
          <cell r="A1504"/>
        </row>
        <row r="1505">
          <cell r="A1505"/>
        </row>
        <row r="1506">
          <cell r="A1506"/>
        </row>
        <row r="1507">
          <cell r="A1507"/>
        </row>
        <row r="1508">
          <cell r="A1508"/>
        </row>
        <row r="1509">
          <cell r="A1509" t="str">
            <v>5.46</v>
          </cell>
        </row>
        <row r="1514">
          <cell r="A1514" t="str">
            <v>5.47</v>
          </cell>
        </row>
        <row r="1576">
          <cell r="A1576"/>
        </row>
        <row r="1577">
          <cell r="A1577"/>
        </row>
        <row r="1578">
          <cell r="A1578"/>
        </row>
        <row r="1579">
          <cell r="A1579"/>
        </row>
        <row r="1585">
          <cell r="A1585"/>
        </row>
        <row r="1586">
          <cell r="A1586"/>
        </row>
        <row r="1587">
          <cell r="A1587"/>
        </row>
        <row r="1588">
          <cell r="A1588"/>
        </row>
        <row r="1589">
          <cell r="A1589"/>
        </row>
        <row r="1590">
          <cell r="A1590"/>
        </row>
        <row r="1591">
          <cell r="A1591"/>
        </row>
        <row r="1592">
          <cell r="A1592"/>
        </row>
        <row r="1593">
          <cell r="A1593"/>
        </row>
        <row r="1594">
          <cell r="A1594"/>
        </row>
        <row r="1595">
          <cell r="A1595"/>
        </row>
        <row r="1596">
          <cell r="A1596" t="str">
            <v>6.2</v>
          </cell>
        </row>
        <row r="1615">
          <cell r="A1615"/>
        </row>
        <row r="1616">
          <cell r="A1616"/>
        </row>
        <row r="1617">
          <cell r="A1617"/>
        </row>
        <row r="1618">
          <cell r="A1618"/>
        </row>
        <row r="1619">
          <cell r="A1619"/>
        </row>
        <row r="1620">
          <cell r="A1620"/>
        </row>
        <row r="1624">
          <cell r="A1624"/>
        </row>
        <row r="1625">
          <cell r="A1625" t="str">
            <v>6.5</v>
          </cell>
        </row>
        <row r="1631">
          <cell r="A1631"/>
        </row>
        <row r="1632">
          <cell r="A1632"/>
        </row>
        <row r="1633">
          <cell r="A1633" t="str">
            <v>6.6</v>
          </cell>
        </row>
        <row r="1644">
          <cell r="A1644"/>
        </row>
        <row r="1645">
          <cell r="A1645"/>
        </row>
        <row r="1647">
          <cell r="A1647"/>
        </row>
        <row r="1648">
          <cell r="A1648"/>
        </row>
        <row r="1649">
          <cell r="A1649"/>
        </row>
        <row r="1650">
          <cell r="A1650" t="str">
            <v>6.8</v>
          </cell>
        </row>
        <row r="1655">
          <cell r="A1655"/>
        </row>
        <row r="1656">
          <cell r="A1656"/>
        </row>
        <row r="1657">
          <cell r="A1657"/>
        </row>
        <row r="1658">
          <cell r="A1658"/>
        </row>
        <row r="1659">
          <cell r="A1659"/>
        </row>
        <row r="1660">
          <cell r="A1660"/>
        </row>
        <row r="1661">
          <cell r="A1661"/>
        </row>
        <row r="1662">
          <cell r="A1662"/>
        </row>
        <row r="1663">
          <cell r="A1663"/>
        </row>
        <row r="1664">
          <cell r="A1664"/>
        </row>
        <row r="1665">
          <cell r="A1665"/>
        </row>
        <row r="1666">
          <cell r="A1666"/>
        </row>
        <row r="1667">
          <cell r="A1667"/>
        </row>
        <row r="1669">
          <cell r="A1669"/>
        </row>
        <row r="1670">
          <cell r="A1670"/>
        </row>
        <row r="1671">
          <cell r="A1671"/>
        </row>
        <row r="1672">
          <cell r="A1672"/>
        </row>
        <row r="1673">
          <cell r="A1673"/>
        </row>
        <row r="1674">
          <cell r="A1674"/>
        </row>
        <row r="1675">
          <cell r="A1675"/>
        </row>
        <row r="1676">
          <cell r="A1676"/>
        </row>
        <row r="1677">
          <cell r="A1677"/>
        </row>
        <row r="1679">
          <cell r="A1679"/>
        </row>
        <row r="1680">
          <cell r="A1680"/>
        </row>
        <row r="1681">
          <cell r="A1681"/>
        </row>
        <row r="1682">
          <cell r="A1682"/>
        </row>
        <row r="1683">
          <cell r="A1683" t="str">
            <v>6.9</v>
          </cell>
        </row>
        <row r="1692">
          <cell r="A1692"/>
        </row>
        <row r="1693">
          <cell r="A1693"/>
        </row>
        <row r="1694">
          <cell r="A1694"/>
        </row>
        <row r="1695">
          <cell r="A1695"/>
        </row>
        <row r="1696">
          <cell r="A1696"/>
        </row>
        <row r="1697">
          <cell r="A1697"/>
        </row>
        <row r="1699">
          <cell r="A1699"/>
        </row>
        <row r="1700">
          <cell r="A1700"/>
        </row>
        <row r="1701">
          <cell r="A1701"/>
        </row>
        <row r="1702">
          <cell r="A1702"/>
        </row>
        <row r="1703">
          <cell r="A1703"/>
        </row>
        <row r="1704">
          <cell r="A1704"/>
        </row>
        <row r="1705">
          <cell r="A1705"/>
        </row>
        <row r="1706">
          <cell r="A1706"/>
        </row>
        <row r="1707">
          <cell r="A1707"/>
        </row>
        <row r="1708">
          <cell r="A1708"/>
        </row>
        <row r="1709">
          <cell r="A1709"/>
        </row>
        <row r="1710">
          <cell r="A1710"/>
        </row>
        <row r="1711">
          <cell r="A1711"/>
        </row>
        <row r="1712">
          <cell r="A1712"/>
        </row>
        <row r="1713">
          <cell r="A1713"/>
        </row>
        <row r="1714">
          <cell r="A1714"/>
        </row>
        <row r="1715">
          <cell r="A1715"/>
        </row>
        <row r="1716">
          <cell r="A1716"/>
        </row>
        <row r="1717">
          <cell r="A1717"/>
        </row>
        <row r="1718">
          <cell r="A1718"/>
        </row>
        <row r="1719">
          <cell r="A1719"/>
        </row>
        <row r="1720">
          <cell r="A1720"/>
        </row>
        <row r="1721">
          <cell r="A1721"/>
        </row>
        <row r="1722">
          <cell r="A1722"/>
        </row>
        <row r="1723">
          <cell r="A1723"/>
        </row>
        <row r="1726">
          <cell r="A1726" t="str">
            <v>6.11</v>
          </cell>
        </row>
        <row r="1732">
          <cell r="A1732"/>
        </row>
        <row r="1733">
          <cell r="A1733"/>
        </row>
        <row r="1734">
          <cell r="A1734"/>
        </row>
        <row r="1735">
          <cell r="A1735"/>
        </row>
        <row r="1736">
          <cell r="A1736"/>
        </row>
        <row r="1737">
          <cell r="A1737"/>
        </row>
        <row r="1738">
          <cell r="A1738"/>
        </row>
        <row r="1740">
          <cell r="A1740"/>
        </row>
        <row r="1741">
          <cell r="A1741"/>
        </row>
        <row r="1742">
          <cell r="A1742"/>
        </row>
        <row r="1743">
          <cell r="A1743"/>
        </row>
        <row r="1744">
          <cell r="A1744"/>
        </row>
        <row r="1745">
          <cell r="A1745"/>
        </row>
        <row r="1746">
          <cell r="A1746"/>
        </row>
        <row r="1747">
          <cell r="A1747"/>
        </row>
        <row r="1748">
          <cell r="A1748"/>
        </row>
        <row r="1749">
          <cell r="A1749"/>
        </row>
        <row r="1750">
          <cell r="A1750"/>
        </row>
        <row r="1751">
          <cell r="A1751"/>
        </row>
        <row r="1752">
          <cell r="A1752"/>
        </row>
        <row r="1753">
          <cell r="A1753"/>
        </row>
        <row r="1754">
          <cell r="A1754"/>
        </row>
        <row r="1755">
          <cell r="A1755"/>
        </row>
        <row r="1756">
          <cell r="A1756"/>
        </row>
        <row r="1757">
          <cell r="A1757"/>
        </row>
        <row r="1758">
          <cell r="A1758"/>
        </row>
        <row r="1759">
          <cell r="A1759"/>
        </row>
        <row r="1762">
          <cell r="A1762" t="str">
            <v>6.12</v>
          </cell>
        </row>
        <row r="1768">
          <cell r="A1768"/>
        </row>
        <row r="1769">
          <cell r="A1769"/>
        </row>
        <row r="1770">
          <cell r="A1770"/>
        </row>
        <row r="1771">
          <cell r="A1771"/>
        </row>
        <row r="1772">
          <cell r="A1772"/>
        </row>
        <row r="1773">
          <cell r="A1773"/>
        </row>
        <row r="1774">
          <cell r="A1774"/>
        </row>
        <row r="1775">
          <cell r="A1775"/>
        </row>
        <row r="1776">
          <cell r="A1776"/>
        </row>
        <row r="1777">
          <cell r="A1777"/>
        </row>
        <row r="1778">
          <cell r="A1778"/>
        </row>
        <row r="1779">
          <cell r="A1779"/>
        </row>
        <row r="1780">
          <cell r="A1780"/>
        </row>
        <row r="1781">
          <cell r="A1781"/>
        </row>
        <row r="1782">
          <cell r="A1782"/>
        </row>
        <row r="1783">
          <cell r="A1783"/>
        </row>
        <row r="1784">
          <cell r="A1784"/>
        </row>
        <row r="1785">
          <cell r="A1785"/>
        </row>
        <row r="1787">
          <cell r="A1787"/>
        </row>
        <row r="1788">
          <cell r="A1788"/>
        </row>
        <row r="1789">
          <cell r="A1789"/>
        </row>
        <row r="1790">
          <cell r="A1790"/>
        </row>
        <row r="1791">
          <cell r="A1791"/>
        </row>
        <row r="1792">
          <cell r="A1792"/>
        </row>
        <row r="1793">
          <cell r="A1793"/>
        </row>
        <row r="1794">
          <cell r="A1794"/>
        </row>
        <row r="1795">
          <cell r="A1795"/>
        </row>
        <row r="1796">
          <cell r="A1796"/>
        </row>
        <row r="1797">
          <cell r="A1797"/>
        </row>
        <row r="1798">
          <cell r="A1798"/>
        </row>
        <row r="1799">
          <cell r="A1799"/>
        </row>
        <row r="1800">
          <cell r="A1800"/>
        </row>
        <row r="1801">
          <cell r="A1801"/>
        </row>
        <row r="1802">
          <cell r="A1802"/>
        </row>
        <row r="1803">
          <cell r="A1803"/>
        </row>
        <row r="1804">
          <cell r="A1804"/>
        </row>
        <row r="1805">
          <cell r="A1805"/>
        </row>
        <row r="1806">
          <cell r="A1806"/>
        </row>
        <row r="1808">
          <cell r="A1808"/>
        </row>
        <row r="1809">
          <cell r="A1809"/>
        </row>
        <row r="1810">
          <cell r="A1810"/>
        </row>
        <row r="1811">
          <cell r="A1811"/>
        </row>
        <row r="1812">
          <cell r="A1812"/>
        </row>
        <row r="1813">
          <cell r="A1813"/>
        </row>
        <row r="1814">
          <cell r="A1814"/>
        </row>
        <row r="1815">
          <cell r="A1815"/>
        </row>
        <row r="1816">
          <cell r="A1816"/>
        </row>
        <row r="1818">
          <cell r="A1818"/>
        </row>
        <row r="1819">
          <cell r="A1819"/>
        </row>
        <row r="1820">
          <cell r="A1820"/>
        </row>
        <row r="1821">
          <cell r="A1821"/>
        </row>
        <row r="1822">
          <cell r="A1822"/>
        </row>
        <row r="1823">
          <cell r="A1823"/>
        </row>
        <row r="1824">
          <cell r="A1824"/>
        </row>
        <row r="1825">
          <cell r="A1825"/>
        </row>
        <row r="1826">
          <cell r="A1826"/>
        </row>
        <row r="1827">
          <cell r="A1827"/>
        </row>
        <row r="1828">
          <cell r="A1828"/>
        </row>
        <row r="1829">
          <cell r="A1829"/>
        </row>
        <row r="1830">
          <cell r="A1830"/>
        </row>
        <row r="1831">
          <cell r="A1831"/>
        </row>
        <row r="1832">
          <cell r="A1832"/>
        </row>
        <row r="1834">
          <cell r="A1834"/>
        </row>
        <row r="1835">
          <cell r="A1835"/>
        </row>
        <row r="1836">
          <cell r="A1836"/>
        </row>
        <row r="1837">
          <cell r="A1837"/>
        </row>
        <row r="1838">
          <cell r="A1838"/>
        </row>
        <row r="1839">
          <cell r="A1839"/>
        </row>
        <row r="1840">
          <cell r="A1840"/>
        </row>
        <row r="1841">
          <cell r="A1841"/>
        </row>
        <row r="1842">
          <cell r="A1842" t="str">
            <v>6.13</v>
          </cell>
        </row>
        <row r="1846">
          <cell r="A1846"/>
        </row>
        <row r="1847">
          <cell r="A1847"/>
        </row>
        <row r="1848">
          <cell r="A1848"/>
        </row>
        <row r="1849">
          <cell r="A1849"/>
        </row>
        <row r="1850">
          <cell r="A1850"/>
        </row>
        <row r="1851">
          <cell r="A1851"/>
        </row>
        <row r="1852">
          <cell r="A1852"/>
        </row>
        <row r="1853">
          <cell r="A1853"/>
        </row>
        <row r="1854">
          <cell r="A1854"/>
        </row>
        <row r="1855">
          <cell r="A1855"/>
        </row>
        <row r="1856">
          <cell r="A1856"/>
        </row>
        <row r="1857">
          <cell r="A1857"/>
        </row>
        <row r="1858">
          <cell r="A1858"/>
        </row>
        <row r="1859">
          <cell r="A1859"/>
        </row>
        <row r="1860">
          <cell r="A1860"/>
        </row>
        <row r="1861">
          <cell r="A1861"/>
        </row>
        <row r="1862">
          <cell r="A1862"/>
        </row>
        <row r="1863">
          <cell r="A1863"/>
        </row>
        <row r="1864">
          <cell r="A1864"/>
        </row>
        <row r="1865">
          <cell r="A1865"/>
        </row>
        <row r="1866">
          <cell r="A1866"/>
        </row>
        <row r="1867">
          <cell r="A1867"/>
        </row>
        <row r="1869">
          <cell r="A1869"/>
        </row>
        <row r="1870">
          <cell r="A1870"/>
        </row>
        <row r="1871">
          <cell r="A1871"/>
        </row>
        <row r="1872">
          <cell r="A1872"/>
        </row>
        <row r="1873">
          <cell r="A1873"/>
        </row>
        <row r="1874">
          <cell r="A1874"/>
        </row>
        <row r="1875">
          <cell r="A1875"/>
        </row>
        <row r="1876">
          <cell r="A1876"/>
        </row>
        <row r="1877">
          <cell r="A1877" t="str">
            <v>6.14</v>
          </cell>
        </row>
        <row r="1881">
          <cell r="A1881"/>
        </row>
        <row r="1882">
          <cell r="A1882"/>
        </row>
        <row r="1883">
          <cell r="A1883"/>
        </row>
        <row r="1884">
          <cell r="A1884"/>
        </row>
        <row r="1885">
          <cell r="A1885"/>
        </row>
        <row r="1886">
          <cell r="A1886"/>
        </row>
        <row r="1887">
          <cell r="A1887"/>
        </row>
        <row r="1888">
          <cell r="A1888"/>
        </row>
        <row r="1889">
          <cell r="A1889"/>
        </row>
        <row r="1890">
          <cell r="A1890"/>
        </row>
        <row r="1891">
          <cell r="A1891"/>
        </row>
        <row r="1892">
          <cell r="A1892"/>
        </row>
        <row r="1893">
          <cell r="A1893"/>
        </row>
        <row r="1894">
          <cell r="A1894"/>
        </row>
        <row r="1895">
          <cell r="A1895"/>
        </row>
        <row r="1896">
          <cell r="A1896"/>
        </row>
        <row r="1898">
          <cell r="A1898"/>
        </row>
        <row r="1899">
          <cell r="A1899"/>
        </row>
        <row r="1900">
          <cell r="A1900"/>
        </row>
        <row r="1901">
          <cell r="A1901"/>
        </row>
        <row r="1902">
          <cell r="A1902"/>
        </row>
        <row r="1903">
          <cell r="A1903"/>
        </row>
        <row r="1904">
          <cell r="A1904"/>
        </row>
        <row r="1906">
          <cell r="A1906"/>
        </row>
        <row r="1907">
          <cell r="A1907"/>
        </row>
        <row r="1908">
          <cell r="A1908"/>
        </row>
        <row r="1909">
          <cell r="A1909"/>
        </row>
        <row r="1911">
          <cell r="A1911"/>
        </row>
        <row r="1912">
          <cell r="A1912"/>
        </row>
        <row r="1913">
          <cell r="A1913"/>
        </row>
        <row r="1914">
          <cell r="A1914"/>
        </row>
        <row r="1915">
          <cell r="A1915"/>
        </row>
        <row r="1916">
          <cell r="A1916"/>
        </row>
        <row r="1917">
          <cell r="A1917"/>
        </row>
        <row r="1918">
          <cell r="A1918"/>
        </row>
        <row r="1920">
          <cell r="A1920"/>
        </row>
        <row r="1921">
          <cell r="A1921"/>
        </row>
        <row r="1923">
          <cell r="A1923"/>
        </row>
        <row r="1926">
          <cell r="A1926"/>
        </row>
        <row r="1928">
          <cell r="A1928"/>
        </row>
        <row r="1929">
          <cell r="A1929"/>
        </row>
        <row r="1930">
          <cell r="A1930"/>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7">
          <cell r="A1947"/>
        </row>
        <row r="1948">
          <cell r="A1948"/>
        </row>
        <row r="1949">
          <cell r="A1949"/>
        </row>
        <row r="1950">
          <cell r="A1950"/>
        </row>
        <row r="1951">
          <cell r="A1951"/>
        </row>
        <row r="1952">
          <cell r="A1952"/>
        </row>
        <row r="1953">
          <cell r="A1953"/>
        </row>
        <row r="1954">
          <cell r="A1954"/>
        </row>
        <row r="1955">
          <cell r="A1955"/>
        </row>
        <row r="1956">
          <cell r="A1956"/>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6">
          <cell r="A2036"/>
        </row>
        <row r="2037">
          <cell r="A2037"/>
        </row>
        <row r="2038">
          <cell r="A2038"/>
        </row>
        <row r="2039">
          <cell r="A2039"/>
        </row>
        <row r="2040">
          <cell r="A2040"/>
        </row>
        <row r="2041">
          <cell r="A2041"/>
        </row>
        <row r="2042">
          <cell r="A2042"/>
        </row>
        <row r="2043">
          <cell r="A2043"/>
        </row>
        <row r="2044">
          <cell r="A2044"/>
        </row>
        <row r="2046">
          <cell r="A2046"/>
        </row>
        <row r="2047">
          <cell r="A2047"/>
        </row>
        <row r="2048">
          <cell r="A2048"/>
        </row>
        <row r="2049">
          <cell r="A2049"/>
        </row>
        <row r="2051">
          <cell r="A2051"/>
        </row>
        <row r="2052">
          <cell r="A2052"/>
        </row>
        <row r="2053">
          <cell r="A2053"/>
        </row>
        <row r="2054">
          <cell r="A2054" t="str">
            <v>6.16</v>
          </cell>
        </row>
        <row r="2061">
          <cell r="A2061"/>
        </row>
        <row r="2062">
          <cell r="A2062"/>
        </row>
        <row r="2064">
          <cell r="A2064"/>
        </row>
        <row r="2065">
          <cell r="A2065"/>
        </row>
        <row r="2066">
          <cell r="A2066"/>
        </row>
        <row r="2068">
          <cell r="A2068"/>
        </row>
        <row r="2069">
          <cell r="A2069"/>
        </row>
        <row r="2070">
          <cell r="A2070"/>
        </row>
        <row r="2071">
          <cell r="A2071"/>
        </row>
        <row r="2073">
          <cell r="A2073"/>
        </row>
        <row r="2074">
          <cell r="A2074"/>
        </row>
        <row r="2075">
          <cell r="A2075"/>
        </row>
        <row r="2076">
          <cell r="A2076"/>
        </row>
        <row r="2077">
          <cell r="A2077"/>
        </row>
        <row r="2078">
          <cell r="A2078"/>
        </row>
        <row r="2079">
          <cell r="A2079"/>
        </row>
        <row r="2080">
          <cell r="A2080"/>
        </row>
        <row r="2082">
          <cell r="A2082"/>
        </row>
        <row r="2083">
          <cell r="A2083"/>
        </row>
        <row r="2084">
          <cell r="A2084"/>
        </row>
        <row r="2085">
          <cell r="A2085"/>
        </row>
        <row r="2086">
          <cell r="A2086"/>
        </row>
        <row r="2087">
          <cell r="A2087"/>
        </row>
        <row r="2088">
          <cell r="A2088"/>
        </row>
        <row r="2089">
          <cell r="A2089"/>
        </row>
        <row r="2090">
          <cell r="A2090"/>
        </row>
        <row r="2091">
          <cell r="A2091"/>
        </row>
        <row r="2092">
          <cell r="A2092"/>
        </row>
        <row r="2093">
          <cell r="A2093"/>
        </row>
        <row r="2094">
          <cell r="A2094"/>
        </row>
        <row r="2095">
          <cell r="A2095"/>
        </row>
        <row r="2096">
          <cell r="A2096"/>
        </row>
        <row r="2097">
          <cell r="A2097"/>
        </row>
        <row r="2098">
          <cell r="A2098"/>
        </row>
        <row r="2099">
          <cell r="A2099"/>
        </row>
        <row r="2100">
          <cell r="A2100"/>
        </row>
        <row r="2101">
          <cell r="A2101"/>
        </row>
        <row r="2102">
          <cell r="A2102"/>
        </row>
        <row r="2103">
          <cell r="A2103"/>
        </row>
        <row r="2105">
          <cell r="A2105"/>
        </row>
        <row r="2106">
          <cell r="A2106"/>
        </row>
        <row r="2107">
          <cell r="A2107"/>
        </row>
        <row r="2108">
          <cell r="A2108"/>
        </row>
        <row r="2109">
          <cell r="A2109"/>
        </row>
        <row r="2110">
          <cell r="A2110"/>
        </row>
        <row r="2111">
          <cell r="A2111"/>
        </row>
        <row r="2112">
          <cell r="A2112"/>
        </row>
        <row r="2113">
          <cell r="A2113"/>
        </row>
        <row r="2114">
          <cell r="A2114"/>
        </row>
        <row r="2115">
          <cell r="A2115"/>
        </row>
        <row r="2116">
          <cell r="A2116"/>
        </row>
        <row r="2117">
          <cell r="A2117"/>
        </row>
        <row r="2118">
          <cell r="A2118"/>
        </row>
        <row r="2119">
          <cell r="A2119"/>
        </row>
        <row r="2120">
          <cell r="A2120"/>
        </row>
        <row r="2121">
          <cell r="A2121"/>
        </row>
        <row r="2122">
          <cell r="A2122"/>
        </row>
        <row r="2123">
          <cell r="A2123"/>
        </row>
        <row r="2124">
          <cell r="A2124"/>
        </row>
        <row r="2125">
          <cell r="A2125"/>
        </row>
        <row r="2126">
          <cell r="A2126"/>
        </row>
        <row r="2127">
          <cell r="A2127"/>
        </row>
        <row r="2128">
          <cell r="A2128"/>
        </row>
        <row r="2129">
          <cell r="A2129"/>
        </row>
        <row r="2130">
          <cell r="A2130"/>
        </row>
        <row r="2131">
          <cell r="A2131"/>
        </row>
        <row r="2132">
          <cell r="A2132"/>
        </row>
        <row r="2133">
          <cell r="A2133"/>
        </row>
        <row r="2134">
          <cell r="A2134"/>
        </row>
        <row r="2135">
          <cell r="A2135"/>
        </row>
        <row r="2136">
          <cell r="A2136"/>
        </row>
        <row r="2137">
          <cell r="A2137"/>
        </row>
        <row r="2138">
          <cell r="A2138"/>
        </row>
        <row r="2139">
          <cell r="A2139"/>
        </row>
        <row r="2140">
          <cell r="A2140"/>
        </row>
        <row r="2141">
          <cell r="A2141"/>
        </row>
        <row r="2142">
          <cell r="A2142"/>
        </row>
        <row r="2143">
          <cell r="A2143"/>
        </row>
        <row r="2144">
          <cell r="A2144"/>
        </row>
        <row r="2145">
          <cell r="A2145"/>
        </row>
        <row r="2146">
          <cell r="A2146"/>
        </row>
        <row r="2147">
          <cell r="A2147"/>
        </row>
        <row r="2148">
          <cell r="A2148"/>
        </row>
        <row r="2149">
          <cell r="A2149"/>
        </row>
        <row r="2181">
          <cell r="A2181"/>
        </row>
        <row r="2182">
          <cell r="A2182"/>
        </row>
        <row r="2183">
          <cell r="A2183"/>
        </row>
        <row r="2184">
          <cell r="A2184"/>
        </row>
        <row r="2185">
          <cell r="A2185"/>
        </row>
        <row r="2186">
          <cell r="A2186"/>
        </row>
        <row r="2187">
          <cell r="A2187"/>
        </row>
        <row r="2188">
          <cell r="A2188"/>
        </row>
        <row r="2189">
          <cell r="A2189"/>
        </row>
        <row r="2190">
          <cell r="A2190"/>
        </row>
        <row r="2191">
          <cell r="A2191"/>
        </row>
        <row r="2192">
          <cell r="A2192"/>
        </row>
        <row r="2193">
          <cell r="A2193"/>
        </row>
        <row r="2194">
          <cell r="A2194"/>
        </row>
        <row r="2195">
          <cell r="A2195"/>
        </row>
        <row r="2196">
          <cell r="A2196"/>
        </row>
        <row r="2197">
          <cell r="A2197"/>
        </row>
        <row r="2198">
          <cell r="A2198"/>
        </row>
        <row r="2199">
          <cell r="A2199">
            <v>7</v>
          </cell>
        </row>
        <row r="2201">
          <cell r="A2201"/>
        </row>
        <row r="2202">
          <cell r="A2202"/>
        </row>
        <row r="2203">
          <cell r="A2203" t="str">
            <v>7.1</v>
          </cell>
        </row>
        <row r="2217">
          <cell r="A2217"/>
        </row>
        <row r="2218">
          <cell r="A2218"/>
        </row>
        <row r="2219">
          <cell r="A2219"/>
        </row>
        <row r="2220">
          <cell r="A2220"/>
        </row>
        <row r="2221">
          <cell r="A2221"/>
        </row>
        <row r="2222">
          <cell r="A2222"/>
        </row>
        <row r="2223">
          <cell r="A2223"/>
        </row>
        <row r="2224">
          <cell r="A2224"/>
        </row>
        <row r="2225">
          <cell r="A2225"/>
        </row>
        <row r="2226">
          <cell r="A2226"/>
        </row>
        <row r="2227">
          <cell r="A2227"/>
        </row>
        <row r="2228">
          <cell r="A2228"/>
        </row>
        <row r="2229">
          <cell r="A2229"/>
        </row>
        <row r="2230">
          <cell r="A2230"/>
        </row>
        <row r="2231">
          <cell r="A2231"/>
        </row>
        <row r="2232">
          <cell r="A2232"/>
        </row>
        <row r="2233">
          <cell r="A2233"/>
        </row>
        <row r="2234">
          <cell r="A2234"/>
        </row>
        <row r="2235">
          <cell r="A2235"/>
        </row>
        <row r="2236">
          <cell r="A2236"/>
        </row>
        <row r="2237">
          <cell r="A2237"/>
        </row>
        <row r="2238">
          <cell r="A2238"/>
        </row>
        <row r="2239">
          <cell r="A2239"/>
        </row>
        <row r="2240">
          <cell r="A2240"/>
        </row>
        <row r="2241">
          <cell r="A2241" t="str">
            <v>7.2</v>
          </cell>
        </row>
        <row r="2262">
          <cell r="A2262"/>
        </row>
        <row r="2263">
          <cell r="A2263"/>
        </row>
        <row r="2264">
          <cell r="A2264"/>
        </row>
        <row r="2266">
          <cell r="A2266"/>
        </row>
        <row r="2267">
          <cell r="A2267"/>
        </row>
        <row r="2268">
          <cell r="A2268"/>
        </row>
        <row r="2269">
          <cell r="A2269"/>
        </row>
        <row r="2270">
          <cell r="A2270"/>
        </row>
        <row r="2271">
          <cell r="A2271"/>
        </row>
        <row r="2272">
          <cell r="A2272"/>
        </row>
        <row r="2273">
          <cell r="A2273"/>
        </row>
        <row r="2274">
          <cell r="A2274"/>
        </row>
        <row r="2275">
          <cell r="A2275"/>
        </row>
        <row r="2276">
          <cell r="A2276"/>
        </row>
        <row r="2277">
          <cell r="A2277"/>
        </row>
        <row r="2278">
          <cell r="A2278"/>
        </row>
        <row r="2279">
          <cell r="A2279"/>
        </row>
        <row r="2280">
          <cell r="A2280"/>
        </row>
        <row r="2281">
          <cell r="A2281"/>
        </row>
        <row r="2283">
          <cell r="A2283"/>
        </row>
        <row r="2284">
          <cell r="A2284"/>
        </row>
        <row r="2285">
          <cell r="A2285"/>
        </row>
        <row r="2286">
          <cell r="A2286"/>
        </row>
        <row r="2287">
          <cell r="A2287"/>
        </row>
        <row r="2289">
          <cell r="A2289"/>
        </row>
        <row r="2290">
          <cell r="A2290"/>
        </row>
        <row r="2291">
          <cell r="A2291"/>
        </row>
        <row r="2292">
          <cell r="A2292"/>
        </row>
        <row r="2293">
          <cell r="A2293"/>
        </row>
        <row r="2294">
          <cell r="A2294"/>
        </row>
        <row r="2295">
          <cell r="A2295"/>
        </row>
        <row r="2296">
          <cell r="A2296"/>
        </row>
        <row r="2297">
          <cell r="A2297"/>
        </row>
        <row r="2298">
          <cell r="A2298"/>
        </row>
        <row r="2299">
          <cell r="A2299"/>
        </row>
        <row r="2300">
          <cell r="A2300"/>
        </row>
        <row r="2301">
          <cell r="A2301"/>
        </row>
        <row r="2302">
          <cell r="A2302"/>
        </row>
        <row r="2303">
          <cell r="A2303">
            <v>8</v>
          </cell>
        </row>
        <row r="2331">
          <cell r="A2331"/>
        </row>
        <row r="2332">
          <cell r="A2332"/>
        </row>
        <row r="2333">
          <cell r="A2333"/>
        </row>
        <row r="2334">
          <cell r="A2334"/>
        </row>
        <row r="2335">
          <cell r="A2335"/>
        </row>
        <row r="2336">
          <cell r="A2336"/>
        </row>
        <row r="2337">
          <cell r="A2337"/>
        </row>
        <row r="2338">
          <cell r="A2338"/>
        </row>
        <row r="2339">
          <cell r="A2339"/>
        </row>
        <row r="2340">
          <cell r="A2340"/>
        </row>
        <row r="2341">
          <cell r="A2341" t="str">
            <v>9.1</v>
          </cell>
        </row>
        <row r="2345">
          <cell r="A2345"/>
        </row>
        <row r="2352">
          <cell r="A2352"/>
        </row>
        <row r="2353">
          <cell r="A2353"/>
        </row>
        <row r="2354">
          <cell r="A2354"/>
        </row>
        <row r="2355">
          <cell r="A2355"/>
        </row>
        <row r="2356">
          <cell r="A2356"/>
        </row>
        <row r="2357">
          <cell r="A2357"/>
        </row>
        <row r="2358">
          <cell r="A2358"/>
        </row>
        <row r="2359">
          <cell r="A2359"/>
        </row>
        <row r="2360">
          <cell r="A2360" t="str">
            <v>9.3</v>
          </cell>
        </row>
        <row r="2364">
          <cell r="A2364"/>
        </row>
        <row r="2365">
          <cell r="A2365"/>
        </row>
        <row r="2366">
          <cell r="A2366"/>
        </row>
        <row r="2367">
          <cell r="A2367" t="str">
            <v>9.4</v>
          </cell>
        </row>
        <row r="2375">
          <cell r="A2375"/>
        </row>
        <row r="2377">
          <cell r="A2377"/>
        </row>
        <row r="2378">
          <cell r="A2378"/>
        </row>
        <row r="2379">
          <cell r="A2379"/>
        </row>
        <row r="2380">
          <cell r="A2380"/>
        </row>
        <row r="2381">
          <cell r="A2381"/>
        </row>
        <row r="2382">
          <cell r="A2382"/>
        </row>
        <row r="2383">
          <cell r="A2383"/>
        </row>
        <row r="2384">
          <cell r="A2384"/>
        </row>
        <row r="2385">
          <cell r="A2385"/>
        </row>
        <row r="2386">
          <cell r="A2386"/>
        </row>
        <row r="2387">
          <cell r="A2387"/>
        </row>
        <row r="2388">
          <cell r="A2388"/>
        </row>
        <row r="2389">
          <cell r="A2389"/>
        </row>
        <row r="2390">
          <cell r="A2390"/>
        </row>
        <row r="2391">
          <cell r="A2391"/>
        </row>
        <row r="2392">
          <cell r="A2392"/>
        </row>
        <row r="2393">
          <cell r="A2393"/>
        </row>
        <row r="2394">
          <cell r="A2394">
            <v>10</v>
          </cell>
        </row>
        <row r="2396">
          <cell r="A2396"/>
        </row>
        <row r="2397">
          <cell r="A2397"/>
        </row>
        <row r="2398">
          <cell r="A2398"/>
        </row>
        <row r="2399">
          <cell r="A2399"/>
        </row>
        <row r="2400">
          <cell r="A2400"/>
        </row>
        <row r="2401">
          <cell r="A2401"/>
        </row>
        <row r="2402">
          <cell r="A2402"/>
        </row>
        <row r="2403">
          <cell r="A2403"/>
        </row>
        <row r="2404">
          <cell r="A2404"/>
        </row>
        <row r="2405">
          <cell r="A2405"/>
        </row>
        <row r="2406">
          <cell r="A2406"/>
        </row>
        <row r="2407">
          <cell r="A2407"/>
        </row>
        <row r="2408">
          <cell r="A2408"/>
        </row>
        <row r="2409">
          <cell r="A2409"/>
        </row>
        <row r="2410">
          <cell r="A2410"/>
        </row>
        <row r="2411">
          <cell r="A2411"/>
        </row>
        <row r="2412">
          <cell r="A2412"/>
        </row>
        <row r="2413">
          <cell r="A2413"/>
        </row>
        <row r="2414">
          <cell r="A2414"/>
        </row>
        <row r="2415">
          <cell r="A2415"/>
        </row>
        <row r="2416">
          <cell r="A2416"/>
        </row>
        <row r="2417">
          <cell r="A2417"/>
        </row>
        <row r="2418">
          <cell r="A2418"/>
        </row>
        <row r="2419">
          <cell r="A2419"/>
        </row>
        <row r="2420">
          <cell r="A2420"/>
        </row>
        <row r="2421">
          <cell r="A2421"/>
        </row>
        <row r="2422">
          <cell r="A2422"/>
        </row>
        <row r="2423">
          <cell r="A2423"/>
        </row>
        <row r="2424">
          <cell r="A2424"/>
        </row>
        <row r="2425">
          <cell r="A2425"/>
        </row>
        <row r="2426">
          <cell r="A2426"/>
        </row>
        <row r="2427">
          <cell r="A2427"/>
        </row>
        <row r="2428">
          <cell r="A2428"/>
        </row>
        <row r="2429">
          <cell r="A2429"/>
        </row>
        <row r="2430">
          <cell r="A2430"/>
        </row>
        <row r="2431">
          <cell r="A2431"/>
        </row>
        <row r="2432">
          <cell r="A2432"/>
        </row>
        <row r="2433">
          <cell r="A2433"/>
        </row>
        <row r="2434">
          <cell r="A2434"/>
        </row>
        <row r="2435">
          <cell r="A2435"/>
        </row>
        <row r="2436">
          <cell r="A2436"/>
        </row>
        <row r="2437">
          <cell r="A2437"/>
        </row>
        <row r="2438">
          <cell r="A2438"/>
        </row>
        <row r="2439">
          <cell r="A2439"/>
        </row>
        <row r="2440">
          <cell r="A2440"/>
        </row>
        <row r="2441">
          <cell r="A2441"/>
        </row>
        <row r="2442">
          <cell r="A2442"/>
        </row>
        <row r="2443">
          <cell r="A2443"/>
        </row>
        <row r="2444">
          <cell r="A2444"/>
        </row>
        <row r="2445">
          <cell r="A2445"/>
        </row>
        <row r="2446">
          <cell r="A2446"/>
        </row>
        <row r="2447">
          <cell r="A2447"/>
        </row>
        <row r="2448">
          <cell r="A2448"/>
        </row>
        <row r="2449">
          <cell r="A2449"/>
        </row>
        <row r="2450">
          <cell r="A2450"/>
        </row>
        <row r="2451">
          <cell r="A2451"/>
        </row>
        <row r="2452">
          <cell r="A2452"/>
        </row>
        <row r="2453">
          <cell r="A2453"/>
        </row>
        <row r="2454">
          <cell r="A2454"/>
        </row>
        <row r="2455">
          <cell r="A2455"/>
        </row>
        <row r="2456">
          <cell r="A2456"/>
        </row>
        <row r="2457">
          <cell r="A2457"/>
        </row>
        <row r="2458">
          <cell r="A2458"/>
        </row>
        <row r="2459">
          <cell r="A2459"/>
        </row>
        <row r="2460">
          <cell r="A2460"/>
        </row>
        <row r="2461">
          <cell r="A2461"/>
        </row>
        <row r="2462">
          <cell r="A2462" t="str">
            <v>10.1</v>
          </cell>
        </row>
        <row r="2487">
          <cell r="A2487"/>
        </row>
        <row r="2488">
          <cell r="A2488"/>
        </row>
        <row r="2489">
          <cell r="A2489"/>
        </row>
        <row r="2490">
          <cell r="A2490"/>
        </row>
        <row r="2491">
          <cell r="A2491"/>
        </row>
        <row r="2492">
          <cell r="A2492"/>
        </row>
        <row r="2493">
          <cell r="A2493"/>
        </row>
        <row r="2494">
          <cell r="A2494"/>
        </row>
        <row r="2495">
          <cell r="A2495"/>
        </row>
        <row r="2496">
          <cell r="A2496"/>
        </row>
        <row r="2497">
          <cell r="A2497"/>
        </row>
        <row r="2498">
          <cell r="A2498">
            <v>11</v>
          </cell>
        </row>
        <row r="2512">
          <cell r="A2512" t="str">
            <v>11.2</v>
          </cell>
        </row>
        <row r="2521">
          <cell r="A2521"/>
        </row>
        <row r="2522">
          <cell r="A2522"/>
        </row>
        <row r="2523">
          <cell r="A2523"/>
        </row>
        <row r="2524">
          <cell r="A2524"/>
        </row>
        <row r="2525">
          <cell r="A2525"/>
        </row>
        <row r="2526">
          <cell r="A2526"/>
        </row>
        <row r="2527">
          <cell r="A2527"/>
        </row>
        <row r="2528">
          <cell r="A2528" t="str">
            <v>11.3</v>
          </cell>
        </row>
        <row r="2561">
          <cell r="A2561"/>
        </row>
        <row r="2562">
          <cell r="A2562"/>
        </row>
        <row r="2563">
          <cell r="A2563"/>
        </row>
        <row r="2564">
          <cell r="A2564"/>
        </row>
        <row r="2565">
          <cell r="A2565"/>
        </row>
        <row r="2566">
          <cell r="A2566"/>
        </row>
        <row r="2567">
          <cell r="A2567"/>
        </row>
        <row r="2568">
          <cell r="A2568"/>
        </row>
        <row r="2569">
          <cell r="A2569"/>
        </row>
        <row r="2570">
          <cell r="A2570"/>
        </row>
        <row r="2571">
          <cell r="A2571"/>
        </row>
        <row r="2572">
          <cell r="A2572"/>
        </row>
        <row r="2573">
          <cell r="A2573"/>
        </row>
        <row r="2574">
          <cell r="A2574"/>
        </row>
        <row r="2575">
          <cell r="A2575"/>
        </row>
        <row r="2576">
          <cell r="A2576"/>
        </row>
        <row r="2577">
          <cell r="A2577"/>
        </row>
        <row r="2578">
          <cell r="A2578"/>
        </row>
        <row r="2588">
          <cell r="A2588"/>
        </row>
        <row r="2589">
          <cell r="A2589"/>
        </row>
        <row r="2590">
          <cell r="A2590"/>
        </row>
        <row r="2591">
          <cell r="A2591"/>
        </row>
        <row r="2592">
          <cell r="A2592"/>
        </row>
        <row r="2593">
          <cell r="A2593"/>
        </row>
        <row r="2594">
          <cell r="A2594" t="str">
            <v>12.1</v>
          </cell>
        </row>
        <row r="2617">
          <cell r="A2617"/>
        </row>
        <row r="2618">
          <cell r="A2618" t="str">
            <v>12.3</v>
          </cell>
        </row>
        <row r="2638">
          <cell r="A2638"/>
        </row>
        <row r="2639">
          <cell r="A2639">
            <v>13</v>
          </cell>
        </row>
        <row r="2641">
          <cell r="A2641"/>
        </row>
        <row r="2642">
          <cell r="A2642"/>
        </row>
        <row r="2643">
          <cell r="A2643"/>
        </row>
        <row r="2644">
          <cell r="A2644"/>
        </row>
        <row r="2645">
          <cell r="A2645"/>
        </row>
        <row r="2646">
          <cell r="A2646"/>
        </row>
        <row r="2647">
          <cell r="A2647"/>
        </row>
        <row r="2648">
          <cell r="A2648" t="str">
            <v>13.1</v>
          </cell>
        </row>
        <row r="2652">
          <cell r="A2652"/>
        </row>
        <row r="2653">
          <cell r="A2653" t="str">
            <v>13.2</v>
          </cell>
        </row>
        <row r="2665">
          <cell r="A2665"/>
        </row>
        <row r="2666">
          <cell r="A2666"/>
        </row>
        <row r="2667">
          <cell r="A2667"/>
        </row>
        <row r="2668">
          <cell r="A2668"/>
        </row>
        <row r="2669">
          <cell r="A2669"/>
        </row>
        <row r="2670">
          <cell r="A2670"/>
        </row>
        <row r="2671">
          <cell r="A2671"/>
        </row>
        <row r="2672">
          <cell r="A2672" t="str">
            <v>13.3</v>
          </cell>
        </row>
        <row r="2677">
          <cell r="A2677"/>
        </row>
        <row r="2678">
          <cell r="A2678"/>
        </row>
        <row r="2679">
          <cell r="A2679"/>
        </row>
        <row r="2680">
          <cell r="A2680"/>
        </row>
        <row r="2681">
          <cell r="A2681"/>
        </row>
        <row r="2682">
          <cell r="A2682"/>
        </row>
        <row r="2683">
          <cell r="A2683"/>
        </row>
        <row r="2684">
          <cell r="A2684"/>
        </row>
        <row r="2685">
          <cell r="A2685"/>
        </row>
        <row r="2686">
          <cell r="A2686"/>
        </row>
        <row r="2687">
          <cell r="A2687"/>
        </row>
        <row r="2688">
          <cell r="A2688"/>
        </row>
        <row r="2689">
          <cell r="A2689"/>
        </row>
        <row r="2690">
          <cell r="A2690"/>
        </row>
        <row r="2691">
          <cell r="A2691"/>
        </row>
        <row r="2692">
          <cell r="A2692"/>
        </row>
        <row r="2693">
          <cell r="A2693"/>
        </row>
        <row r="2694">
          <cell r="A2694"/>
        </row>
        <row r="2695">
          <cell r="A2695"/>
        </row>
        <row r="2696">
          <cell r="A2696"/>
        </row>
        <row r="2697">
          <cell r="A2697"/>
        </row>
        <row r="2698">
          <cell r="A2698" t="str">
            <v>13.4</v>
          </cell>
        </row>
        <row r="2706">
          <cell r="A2706"/>
        </row>
        <row r="2707">
          <cell r="A2707"/>
        </row>
        <row r="2711">
          <cell r="A2711" t="str">
            <v>13.5</v>
          </cell>
        </row>
        <row r="2746">
          <cell r="A2746"/>
        </row>
        <row r="2747">
          <cell r="A2747"/>
        </row>
        <row r="2748">
          <cell r="A2748"/>
        </row>
        <row r="2749">
          <cell r="A2749"/>
        </row>
        <row r="2750">
          <cell r="A2750"/>
        </row>
        <row r="2751">
          <cell r="A2751"/>
        </row>
        <row r="2752">
          <cell r="A2752"/>
        </row>
        <row r="2753">
          <cell r="A2753" t="str">
            <v>13.9</v>
          </cell>
        </row>
        <row r="2765">
          <cell r="A2765"/>
        </row>
        <row r="2766">
          <cell r="A2766"/>
        </row>
        <row r="2767">
          <cell r="A2767"/>
        </row>
        <row r="2768">
          <cell r="A2768"/>
        </row>
        <row r="2769">
          <cell r="A2769"/>
        </row>
        <row r="2770">
          <cell r="A2770"/>
        </row>
        <row r="2771">
          <cell r="A2771"/>
        </row>
        <row r="2772">
          <cell r="A2772"/>
        </row>
        <row r="2773">
          <cell r="A2773"/>
        </row>
        <row r="2774">
          <cell r="A2774"/>
        </row>
        <row r="2775">
          <cell r="A2775"/>
        </row>
        <row r="2776">
          <cell r="A2776"/>
        </row>
        <row r="2777">
          <cell r="A2777"/>
        </row>
        <row r="2778">
          <cell r="A2778"/>
        </row>
        <row r="2779">
          <cell r="A2779"/>
        </row>
        <row r="2780">
          <cell r="A2780"/>
        </row>
        <row r="2781">
          <cell r="A2781"/>
        </row>
        <row r="2782">
          <cell r="A2782"/>
        </row>
        <row r="2783">
          <cell r="A2783"/>
        </row>
        <row r="2784">
          <cell r="A2784"/>
        </row>
        <row r="2785">
          <cell r="A2785"/>
        </row>
        <row r="2786">
          <cell r="A2786"/>
        </row>
        <row r="2787">
          <cell r="A2787"/>
        </row>
        <row r="2788">
          <cell r="A2788" t="str">
            <v>14.1</v>
          </cell>
        </row>
        <row r="2812">
          <cell r="A2812"/>
        </row>
        <row r="2813">
          <cell r="A2813"/>
        </row>
        <row r="2814">
          <cell r="A2814"/>
        </row>
        <row r="2815">
          <cell r="A2815"/>
        </row>
        <row r="2816">
          <cell r="A2816"/>
        </row>
        <row r="2817">
          <cell r="A2817"/>
        </row>
        <row r="2818">
          <cell r="A2818"/>
        </row>
        <row r="2819">
          <cell r="A2819"/>
        </row>
        <row r="2820">
          <cell r="A2820"/>
        </row>
        <row r="2821">
          <cell r="A2821"/>
        </row>
        <row r="2822">
          <cell r="A2822"/>
        </row>
        <row r="2823">
          <cell r="A2823">
            <v>15</v>
          </cell>
        </row>
        <row r="2831">
          <cell r="A2831"/>
        </row>
        <row r="2832">
          <cell r="A2832"/>
        </row>
        <row r="2833">
          <cell r="A2833"/>
        </row>
        <row r="2834">
          <cell r="A2834"/>
        </row>
        <row r="2835">
          <cell r="A2835"/>
        </row>
        <row r="2836">
          <cell r="A2836"/>
        </row>
        <row r="2837">
          <cell r="A2837"/>
        </row>
        <row r="2838">
          <cell r="A2838">
            <v>16</v>
          </cell>
        </row>
        <row r="2840">
          <cell r="A2840"/>
        </row>
        <row r="2841">
          <cell r="A2841"/>
        </row>
        <row r="2842">
          <cell r="A2842"/>
        </row>
        <row r="2843">
          <cell r="A2843"/>
        </row>
        <row r="2844">
          <cell r="A2844"/>
        </row>
        <row r="2845">
          <cell r="A2845"/>
        </row>
        <row r="2846">
          <cell r="A2846"/>
        </row>
        <row r="2847">
          <cell r="A2847"/>
        </row>
        <row r="2848">
          <cell r="A2848"/>
        </row>
        <row r="2849">
          <cell r="A2849"/>
        </row>
        <row r="2850">
          <cell r="A2850"/>
        </row>
        <row r="2851">
          <cell r="A2851"/>
        </row>
        <row r="2852">
          <cell r="A2852"/>
        </row>
        <row r="2853">
          <cell r="A2853" t="str">
            <v>16.1</v>
          </cell>
        </row>
        <row r="2920">
          <cell r="A2920"/>
        </row>
        <row r="2921">
          <cell r="A2921"/>
        </row>
        <row r="2922">
          <cell r="A2922"/>
        </row>
        <row r="2923">
          <cell r="A2923"/>
        </row>
        <row r="2924">
          <cell r="A2924"/>
        </row>
        <row r="2925">
          <cell r="A2925"/>
        </row>
        <row r="2926">
          <cell r="A2926" t="str">
            <v>16.2</v>
          </cell>
        </row>
        <row r="3001">
          <cell r="A3001"/>
        </row>
        <row r="3002">
          <cell r="A3002"/>
        </row>
        <row r="3003">
          <cell r="A3003"/>
        </row>
        <row r="3004">
          <cell r="A3004"/>
        </row>
        <row r="3005">
          <cell r="A3005"/>
        </row>
        <row r="3006">
          <cell r="A3006"/>
        </row>
        <row r="3007">
          <cell r="A3007"/>
        </row>
        <row r="3008">
          <cell r="A3008"/>
        </row>
        <row r="3009">
          <cell r="A3009"/>
        </row>
        <row r="3010">
          <cell r="A3010"/>
        </row>
        <row r="3011">
          <cell r="A3011" t="str">
            <v>16.3</v>
          </cell>
        </row>
        <row r="3018">
          <cell r="A3018"/>
        </row>
        <row r="3022">
          <cell r="A3022" t="str">
            <v>16.4</v>
          </cell>
        </row>
        <row r="3034">
          <cell r="A3034"/>
        </row>
        <row r="3035">
          <cell r="A3035"/>
        </row>
        <row r="3036">
          <cell r="A3036"/>
        </row>
        <row r="3037">
          <cell r="A3037"/>
        </row>
        <row r="3038">
          <cell r="A3038"/>
        </row>
        <row r="3039">
          <cell r="A3039" t="str">
            <v>16.5</v>
          </cell>
        </row>
        <row r="3048">
          <cell r="A3048"/>
        </row>
        <row r="3049">
          <cell r="A3049"/>
        </row>
        <row r="3050">
          <cell r="A3050"/>
        </row>
        <row r="3051">
          <cell r="A3051"/>
        </row>
        <row r="3052">
          <cell r="A3052" t="str">
            <v>16.6</v>
          </cell>
        </row>
        <row r="3076">
          <cell r="A3076"/>
        </row>
        <row r="3077">
          <cell r="A3077"/>
        </row>
        <row r="3078">
          <cell r="A3078"/>
        </row>
        <row r="3079">
          <cell r="A3079"/>
        </row>
        <row r="3080">
          <cell r="A3080"/>
        </row>
        <row r="3081">
          <cell r="A3081"/>
        </row>
        <row r="3082">
          <cell r="A3082"/>
        </row>
        <row r="3083">
          <cell r="A3083"/>
        </row>
        <row r="3084">
          <cell r="A3084"/>
        </row>
        <row r="3085">
          <cell r="A3085"/>
        </row>
        <row r="3086">
          <cell r="A3086"/>
        </row>
        <row r="3087">
          <cell r="A3087"/>
        </row>
        <row r="3088">
          <cell r="A3088"/>
        </row>
        <row r="3089">
          <cell r="A3089" t="str">
            <v>17.1</v>
          </cell>
        </row>
        <row r="3118">
          <cell r="A3118"/>
        </row>
        <row r="3119">
          <cell r="A3119"/>
        </row>
        <row r="3120">
          <cell r="A3120"/>
        </row>
        <row r="3121">
          <cell r="A3121"/>
        </row>
        <row r="3122">
          <cell r="A3122"/>
        </row>
        <row r="3123">
          <cell r="A3123"/>
        </row>
        <row r="3124">
          <cell r="A3124"/>
        </row>
        <row r="3125">
          <cell r="A3125"/>
        </row>
        <row r="3126">
          <cell r="A3126"/>
        </row>
        <row r="3127">
          <cell r="A3127"/>
        </row>
        <row r="3128">
          <cell r="A3128"/>
        </row>
        <row r="3129">
          <cell r="A3129"/>
        </row>
        <row r="3130">
          <cell r="A3130"/>
        </row>
        <row r="3132">
          <cell r="A3132" t="str">
            <v>17.2</v>
          </cell>
        </row>
        <row r="3136">
          <cell r="A3136"/>
        </row>
        <row r="3137">
          <cell r="A3137"/>
        </row>
        <row r="3138">
          <cell r="A3138"/>
        </row>
        <row r="3139">
          <cell r="A3139"/>
        </row>
        <row r="3140">
          <cell r="A3140"/>
        </row>
        <row r="3141">
          <cell r="A3141"/>
        </row>
        <row r="3142">
          <cell r="A3142"/>
        </row>
        <row r="3143">
          <cell r="A3143"/>
        </row>
        <row r="3144">
          <cell r="A3144"/>
        </row>
        <row r="3145">
          <cell r="A3145"/>
        </row>
        <row r="3146">
          <cell r="A3146"/>
        </row>
        <row r="3147">
          <cell r="A3147"/>
        </row>
        <row r="3148">
          <cell r="A3148"/>
        </row>
        <row r="3149">
          <cell r="A3149"/>
        </row>
        <row r="3150">
          <cell r="A3150"/>
        </row>
        <row r="3151">
          <cell r="A3151"/>
        </row>
        <row r="3152">
          <cell r="A3152"/>
        </row>
        <row r="3153">
          <cell r="A3153"/>
        </row>
        <row r="3154">
          <cell r="A3154"/>
        </row>
        <row r="3155">
          <cell r="A3155"/>
        </row>
        <row r="3156">
          <cell r="A3156"/>
        </row>
        <row r="3157">
          <cell r="A3157"/>
        </row>
        <row r="3158">
          <cell r="A3158"/>
        </row>
        <row r="3159">
          <cell r="A3159"/>
        </row>
        <row r="3160">
          <cell r="A3160"/>
        </row>
        <row r="3161">
          <cell r="A3161"/>
        </row>
        <row r="3162">
          <cell r="A3162"/>
        </row>
        <row r="3163">
          <cell r="A3163"/>
        </row>
        <row r="3164">
          <cell r="A3164"/>
        </row>
        <row r="3165">
          <cell r="A3165"/>
        </row>
        <row r="3166">
          <cell r="A3166" t="str">
            <v>17.3</v>
          </cell>
        </row>
        <row r="3175">
          <cell r="A3175"/>
        </row>
        <row r="3176">
          <cell r="A3176"/>
        </row>
        <row r="3177">
          <cell r="A3177"/>
        </row>
        <row r="3178">
          <cell r="A3178"/>
        </row>
        <row r="3179">
          <cell r="A3179"/>
        </row>
        <row r="3180">
          <cell r="A3180"/>
        </row>
        <row r="3181">
          <cell r="A3181"/>
        </row>
        <row r="3182">
          <cell r="A3182"/>
        </row>
        <row r="3183">
          <cell r="A3183"/>
        </row>
        <row r="3184">
          <cell r="A3184"/>
        </row>
        <row r="3185">
          <cell r="A3185"/>
        </row>
        <row r="3186">
          <cell r="A3186"/>
        </row>
        <row r="3187">
          <cell r="A3187"/>
        </row>
        <row r="3188">
          <cell r="A3188"/>
        </row>
        <row r="3189">
          <cell r="A3189"/>
        </row>
        <row r="3190">
          <cell r="A3190"/>
        </row>
        <row r="3191">
          <cell r="A3191"/>
        </row>
        <row r="3192">
          <cell r="A3192"/>
        </row>
        <row r="3193">
          <cell r="A3193"/>
        </row>
        <row r="3194">
          <cell r="A3194"/>
        </row>
        <row r="3195">
          <cell r="A3195"/>
        </row>
        <row r="3196">
          <cell r="A3196"/>
        </row>
        <row r="3197">
          <cell r="A3197"/>
        </row>
        <row r="3198">
          <cell r="A3198"/>
        </row>
      </sheetData>
      <sheetData sheetId="1"/>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mfrural@mfrural.com.br" TargetMode="External"/><Relationship Id="rId7" Type="http://schemas.openxmlformats.org/officeDocument/2006/relationships/drawing" Target="../drawings/drawing1.xml"/><Relationship Id="rId2" Type="http://schemas.openxmlformats.org/officeDocument/2006/relationships/hyperlink" Target="mailto:sac@plastprime.com" TargetMode="External"/><Relationship Id="rId1" Type="http://schemas.openxmlformats.org/officeDocument/2006/relationships/hyperlink" Target="mailto:ajuda-amazon@amazon.com.br" TargetMode="External"/><Relationship Id="rId6" Type="http://schemas.openxmlformats.org/officeDocument/2006/relationships/printerSettings" Target="../printerSettings/printerSettings2.bin"/><Relationship Id="rId5" Type="http://schemas.openxmlformats.org/officeDocument/2006/relationships/hyperlink" Target="mailto:ajuda-amazon@amazon.com.br" TargetMode="External"/><Relationship Id="rId4" Type="http://schemas.openxmlformats.org/officeDocument/2006/relationships/hyperlink" Target="mailto:ajuda-amazon@amazon.com.b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73"/>
  <sheetViews>
    <sheetView zoomScaleNormal="100" zoomScaleSheetLayoutView="120" workbookViewId="0">
      <selection activeCell="C22" sqref="C22"/>
    </sheetView>
  </sheetViews>
  <sheetFormatPr defaultColWidth="9.5546875" defaultRowHeight="13.8"/>
  <cols>
    <col min="1" max="1" width="9" style="48" customWidth="1"/>
    <col min="2" max="2" width="16.6640625" style="67" bestFit="1" customWidth="1"/>
    <col min="3" max="3" width="62.33203125" style="89" customWidth="1"/>
    <col min="4" max="4" width="7.5546875" style="149" bestFit="1" customWidth="1"/>
    <col min="5" max="5" width="13.109375" style="90" bestFit="1" customWidth="1"/>
    <col min="6" max="6" width="61.109375" style="163" bestFit="1" customWidth="1"/>
    <col min="7" max="7" width="5.88671875" style="18" bestFit="1" customWidth="1"/>
    <col min="8" max="9" width="5.44140625" style="18" bestFit="1" customWidth="1"/>
    <col min="10" max="10" width="10.44140625" style="18" bestFit="1" customWidth="1"/>
    <col min="11" max="11" width="3.44140625" style="18" bestFit="1" customWidth="1"/>
    <col min="12" max="13" width="9.5546875" style="18"/>
    <col min="14" max="15" width="10.44140625" style="18" bestFit="1" customWidth="1"/>
    <col min="16" max="16" width="11.44140625" style="18" bestFit="1" customWidth="1"/>
    <col min="17" max="16384" width="9.5546875" style="18"/>
  </cols>
  <sheetData>
    <row r="1" spans="1:6" ht="16.2" thickBot="1">
      <c r="A1" s="534" t="s">
        <v>0</v>
      </c>
      <c r="B1" s="535"/>
      <c r="C1" s="535"/>
      <c r="D1" s="535"/>
      <c r="E1" s="536"/>
      <c r="F1" s="187"/>
    </row>
    <row r="2" spans="1:6" ht="16.2" thickBot="1">
      <c r="A2" s="63"/>
      <c r="B2" s="58"/>
      <c r="C2" s="46"/>
      <c r="D2" s="140"/>
      <c r="E2" s="68"/>
      <c r="F2" s="170"/>
    </row>
    <row r="3" spans="1:6" ht="35.4" customHeight="1">
      <c r="A3" s="64" t="s">
        <v>1</v>
      </c>
      <c r="B3" s="537" t="s">
        <v>3976</v>
      </c>
      <c r="C3" s="537"/>
      <c r="D3" s="537"/>
      <c r="E3" s="538"/>
    </row>
    <row r="4" spans="1:6" ht="15.6">
      <c r="A4" s="65" t="s">
        <v>2</v>
      </c>
      <c r="B4" s="539" t="s">
        <v>3163</v>
      </c>
      <c r="C4" s="539"/>
      <c r="D4" s="539"/>
      <c r="E4" s="540"/>
    </row>
    <row r="5" spans="1:6" ht="16.2" thickBot="1">
      <c r="A5" s="66" t="s">
        <v>3</v>
      </c>
      <c r="B5" s="541">
        <v>45119</v>
      </c>
      <c r="C5" s="542"/>
      <c r="D5" s="542"/>
      <c r="E5" s="543"/>
    </row>
    <row r="6" spans="1:6">
      <c r="A6" s="19"/>
      <c r="B6" s="52"/>
      <c r="C6" s="69"/>
      <c r="D6" s="52"/>
      <c r="E6" s="70"/>
    </row>
    <row r="7" spans="1:6">
      <c r="A7" s="20" t="s">
        <v>4</v>
      </c>
      <c r="B7" s="21" t="s">
        <v>5</v>
      </c>
      <c r="C7" s="22" t="s">
        <v>6</v>
      </c>
      <c r="D7" s="141" t="s">
        <v>7</v>
      </c>
      <c r="E7" s="71" t="s">
        <v>8</v>
      </c>
    </row>
    <row r="8" spans="1:6">
      <c r="A8" s="23"/>
      <c r="B8" s="55">
        <v>20000</v>
      </c>
      <c r="C8" s="24" t="s">
        <v>9</v>
      </c>
      <c r="D8" s="142" t="s">
        <v>10</v>
      </c>
      <c r="E8" s="72"/>
    </row>
    <row r="9" spans="1:6" ht="26.4" hidden="1">
      <c r="A9" s="43"/>
      <c r="B9" s="56">
        <v>20100</v>
      </c>
      <c r="C9" s="124" t="s">
        <v>11</v>
      </c>
      <c r="D9" s="56" t="s">
        <v>12</v>
      </c>
      <c r="E9" s="74"/>
    </row>
    <row r="10" spans="1:6" ht="26.4" hidden="1">
      <c r="A10" s="43"/>
      <c r="B10" s="56">
        <v>20101</v>
      </c>
      <c r="C10" s="92" t="s">
        <v>13</v>
      </c>
      <c r="D10" s="56" t="s">
        <v>12</v>
      </c>
      <c r="E10" s="74"/>
    </row>
    <row r="11" spans="1:6" ht="26.4">
      <c r="A11" s="231" t="s">
        <v>3567</v>
      </c>
      <c r="B11" s="56">
        <v>20102</v>
      </c>
      <c r="C11" s="92" t="s">
        <v>14</v>
      </c>
      <c r="D11" s="56" t="s">
        <v>12</v>
      </c>
      <c r="E11" s="74">
        <f>ROUND(SUM(E13:E14),2)</f>
        <v>1722.41</v>
      </c>
    </row>
    <row r="12" spans="1:6" ht="62.4" customHeight="1">
      <c r="A12" s="150"/>
      <c r="B12" s="99"/>
      <c r="C12" s="156" t="s">
        <v>3234</v>
      </c>
      <c r="D12" s="99"/>
      <c r="E12" s="101"/>
    </row>
    <row r="13" spans="1:6">
      <c r="A13" s="150"/>
      <c r="B13" s="99"/>
      <c r="C13" s="102" t="s">
        <v>2682</v>
      </c>
      <c r="D13" s="99" t="s">
        <v>12</v>
      </c>
      <c r="E13" s="101">
        <f>850.992+850.992</f>
        <v>1701.9839999999999</v>
      </c>
    </row>
    <row r="14" spans="1:6" ht="22.8">
      <c r="A14" s="150"/>
      <c r="B14" s="99"/>
      <c r="C14" s="102" t="s">
        <v>3047</v>
      </c>
      <c r="D14" s="99" t="s">
        <v>12</v>
      </c>
      <c r="E14" s="101">
        <f>11.35*1.8</f>
        <v>20.43</v>
      </c>
    </row>
    <row r="15" spans="1:6">
      <c r="A15" s="25"/>
      <c r="B15" s="56"/>
      <c r="C15" s="92"/>
      <c r="D15" s="56"/>
      <c r="E15" s="74"/>
    </row>
    <row r="16" spans="1:6" ht="26.4">
      <c r="A16" s="231" t="s">
        <v>3568</v>
      </c>
      <c r="B16" s="56">
        <v>20103</v>
      </c>
      <c r="C16" s="92" t="s">
        <v>15</v>
      </c>
      <c r="D16" s="56" t="s">
        <v>12</v>
      </c>
      <c r="E16" s="74">
        <f>ROUND((E17),2)</f>
        <v>21.33</v>
      </c>
    </row>
    <row r="17" spans="1:6" ht="22.8">
      <c r="A17" s="25"/>
      <c r="B17" s="56"/>
      <c r="C17" s="102" t="s">
        <v>3233</v>
      </c>
      <c r="D17" s="99" t="s">
        <v>12</v>
      </c>
      <c r="E17" s="101">
        <f>11.85*1.8</f>
        <v>21.33</v>
      </c>
    </row>
    <row r="18" spans="1:6">
      <c r="A18" s="25"/>
      <c r="B18" s="56"/>
      <c r="C18" s="92"/>
      <c r="D18" s="56"/>
      <c r="E18" s="74"/>
    </row>
    <row r="19" spans="1:6" ht="26.4" hidden="1">
      <c r="A19" s="25"/>
      <c r="B19" s="56">
        <v>20104</v>
      </c>
      <c r="C19" s="92" t="s">
        <v>16</v>
      </c>
      <c r="D19" s="56" t="s">
        <v>12</v>
      </c>
      <c r="E19" s="74"/>
    </row>
    <row r="20" spans="1:6" ht="26.4" hidden="1">
      <c r="A20" s="25"/>
      <c r="B20" s="56">
        <v>20105</v>
      </c>
      <c r="C20" s="92" t="s">
        <v>17</v>
      </c>
      <c r="D20" s="56" t="s">
        <v>12</v>
      </c>
      <c r="E20" s="74"/>
    </row>
    <row r="21" spans="1:6" ht="26.4">
      <c r="A21" s="231" t="s">
        <v>3569</v>
      </c>
      <c r="B21" s="56">
        <v>20106</v>
      </c>
      <c r="C21" s="92" t="s">
        <v>18</v>
      </c>
      <c r="D21" s="56" t="s">
        <v>12</v>
      </c>
      <c r="E21" s="74">
        <f>ROUND(SUM(E24:E56),2)</f>
        <v>78.39</v>
      </c>
      <c r="F21" s="166"/>
    </row>
    <row r="22" spans="1:6" s="47" customFormat="1" ht="62.4" customHeight="1">
      <c r="A22" s="150"/>
      <c r="B22" s="99"/>
      <c r="C22" s="156" t="s">
        <v>3234</v>
      </c>
      <c r="D22" s="99"/>
      <c r="E22" s="101"/>
      <c r="F22" s="163"/>
    </row>
    <row r="23" spans="1:6" s="47" customFormat="1" ht="12">
      <c r="A23" s="150"/>
      <c r="B23" s="99"/>
      <c r="C23" s="100" t="s">
        <v>2502</v>
      </c>
      <c r="D23" s="99"/>
      <c r="E23" s="101"/>
      <c r="F23" s="163"/>
    </row>
    <row r="24" spans="1:6" s="47" customFormat="1" ht="22.8">
      <c r="A24" s="150"/>
      <c r="B24" s="99"/>
      <c r="C24" s="102" t="s">
        <v>3890</v>
      </c>
      <c r="D24" s="99" t="s">
        <v>12</v>
      </c>
      <c r="E24" s="101">
        <f>13*(2*1)</f>
        <v>26</v>
      </c>
      <c r="F24" s="163"/>
    </row>
    <row r="25" spans="1:6" s="47" customFormat="1" ht="12">
      <c r="A25" s="150"/>
      <c r="B25" s="99"/>
      <c r="C25" s="102" t="s">
        <v>3074</v>
      </c>
      <c r="D25" s="99"/>
      <c r="E25" s="101"/>
      <c r="F25" s="163"/>
    </row>
    <row r="26" spans="1:6" s="47" customFormat="1" ht="12" hidden="1">
      <c r="A26" s="150"/>
      <c r="B26" s="99"/>
      <c r="C26" s="102"/>
      <c r="D26" s="99"/>
      <c r="E26" s="101"/>
      <c r="F26" s="163"/>
    </row>
    <row r="27" spans="1:6" s="47" customFormat="1" ht="12">
      <c r="A27" s="150"/>
      <c r="B27" s="99"/>
      <c r="C27" s="102" t="s">
        <v>3091</v>
      </c>
      <c r="D27" s="99"/>
      <c r="E27" s="101"/>
      <c r="F27" s="163"/>
    </row>
    <row r="28" spans="1:6" s="47" customFormat="1" ht="12">
      <c r="A28" s="150"/>
      <c r="B28" s="99"/>
      <c r="C28" s="102" t="s">
        <v>3092</v>
      </c>
      <c r="D28" s="99"/>
      <c r="E28" s="101"/>
      <c r="F28" s="163"/>
    </row>
    <row r="29" spans="1:6" s="47" customFormat="1" ht="12">
      <c r="A29" s="150"/>
      <c r="B29" s="99"/>
      <c r="C29" s="102" t="s">
        <v>3093</v>
      </c>
      <c r="D29" s="99"/>
      <c r="E29" s="101"/>
      <c r="F29" s="163"/>
    </row>
    <row r="30" spans="1:6" s="47" customFormat="1" ht="12">
      <c r="A30" s="150"/>
      <c r="B30" s="99"/>
      <c r="C30" s="102" t="s">
        <v>3094</v>
      </c>
      <c r="D30" s="99"/>
      <c r="E30" s="101"/>
      <c r="F30" s="163"/>
    </row>
    <row r="31" spans="1:6" s="47" customFormat="1" ht="12">
      <c r="A31" s="150"/>
      <c r="B31" s="99"/>
      <c r="C31" s="102"/>
      <c r="D31" s="99"/>
      <c r="E31" s="101"/>
      <c r="F31" s="163"/>
    </row>
    <row r="32" spans="1:6" s="47" customFormat="1" ht="12">
      <c r="A32" s="150"/>
      <c r="B32" s="99"/>
      <c r="C32" s="102" t="s">
        <v>3157</v>
      </c>
      <c r="D32" s="99" t="s">
        <v>12</v>
      </c>
      <c r="E32" s="101">
        <f>1*(2*1)</f>
        <v>2</v>
      </c>
      <c r="F32" s="163"/>
    </row>
    <row r="33" spans="1:6" s="47" customFormat="1" ht="24" customHeight="1">
      <c r="A33" s="150"/>
      <c r="B33" s="99"/>
      <c r="C33" s="102" t="s">
        <v>3051</v>
      </c>
      <c r="D33" s="99" t="s">
        <v>12</v>
      </c>
      <c r="E33" s="101">
        <f>1*(3*1)</f>
        <v>3</v>
      </c>
      <c r="F33" s="163"/>
    </row>
    <row r="34" spans="1:6" s="47" customFormat="1" ht="12">
      <c r="A34" s="150"/>
      <c r="B34" s="99"/>
      <c r="C34" s="102" t="s">
        <v>3137</v>
      </c>
      <c r="D34" s="99" t="s">
        <v>12</v>
      </c>
      <c r="E34" s="101">
        <f>3*(1.5*1)</f>
        <v>4.5</v>
      </c>
      <c r="F34" s="163"/>
    </row>
    <row r="35" spans="1:6" s="47" customFormat="1" ht="12">
      <c r="A35" s="150"/>
      <c r="B35" s="99"/>
      <c r="C35" s="102" t="s">
        <v>3138</v>
      </c>
      <c r="D35" s="99" t="s">
        <v>12</v>
      </c>
      <c r="E35" s="101">
        <f>2*(1*2)</f>
        <v>4</v>
      </c>
      <c r="F35" s="163"/>
    </row>
    <row r="36" spans="1:6" s="47" customFormat="1" ht="12">
      <c r="A36" s="150"/>
      <c r="B36" s="99"/>
      <c r="C36" s="102"/>
      <c r="D36" s="99"/>
      <c r="E36" s="101"/>
      <c r="F36" s="163"/>
    </row>
    <row r="37" spans="1:6" s="47" customFormat="1" ht="12">
      <c r="A37" s="150"/>
      <c r="B37" s="99"/>
      <c r="C37" s="100" t="s">
        <v>3891</v>
      </c>
      <c r="D37" s="99"/>
      <c r="E37" s="101"/>
      <c r="F37" s="163"/>
    </row>
    <row r="38" spans="1:6" s="47" customFormat="1" ht="22.8">
      <c r="A38" s="150"/>
      <c r="B38" s="99"/>
      <c r="C38" s="102" t="s">
        <v>3892</v>
      </c>
      <c r="D38" s="99" t="s">
        <v>12</v>
      </c>
      <c r="E38" s="101">
        <f>2*(1*2.1)</f>
        <v>4.2</v>
      </c>
      <c r="F38" s="163"/>
    </row>
    <row r="39" spans="1:6" s="47" customFormat="1" ht="12" hidden="1">
      <c r="A39" s="150"/>
      <c r="B39" s="99"/>
      <c r="C39" s="102"/>
      <c r="D39" s="99"/>
      <c r="E39" s="101"/>
      <c r="F39" s="163"/>
    </row>
    <row r="40" spans="1:6" s="47" customFormat="1" ht="12" hidden="1">
      <c r="A40" s="150"/>
      <c r="B40" s="99"/>
      <c r="C40" s="102"/>
      <c r="D40" s="99"/>
      <c r="E40" s="101"/>
      <c r="F40" s="163"/>
    </row>
    <row r="41" spans="1:6" s="47" customFormat="1" ht="12" hidden="1">
      <c r="A41" s="150"/>
      <c r="B41" s="99"/>
      <c r="C41" s="102"/>
      <c r="D41" s="99"/>
      <c r="E41" s="101"/>
      <c r="F41" s="163"/>
    </row>
    <row r="42" spans="1:6" s="47" customFormat="1" ht="12" hidden="1">
      <c r="A42" s="150"/>
      <c r="B42" s="99"/>
      <c r="C42" s="102"/>
      <c r="D42" s="99"/>
      <c r="E42" s="101"/>
      <c r="F42" s="163"/>
    </row>
    <row r="43" spans="1:6" s="47" customFormat="1" ht="12" hidden="1">
      <c r="A43" s="150"/>
      <c r="B43" s="99"/>
      <c r="C43" s="102"/>
      <c r="D43" s="99"/>
      <c r="E43" s="101"/>
      <c r="F43" s="163"/>
    </row>
    <row r="44" spans="1:6" s="47" customFormat="1" ht="12">
      <c r="A44" s="150"/>
      <c r="B44" s="99"/>
      <c r="C44" s="102" t="s">
        <v>3089</v>
      </c>
      <c r="D44" s="99"/>
      <c r="E44" s="101"/>
      <c r="F44" s="163"/>
    </row>
    <row r="45" spans="1:6" s="47" customFormat="1" ht="12">
      <c r="A45" s="150"/>
      <c r="B45" s="99"/>
      <c r="C45" s="102" t="s">
        <v>3090</v>
      </c>
      <c r="D45" s="99"/>
      <c r="E45" s="101"/>
      <c r="F45" s="163"/>
    </row>
    <row r="46" spans="1:6" s="47" customFormat="1" ht="12">
      <c r="A46" s="150"/>
      <c r="B46" s="99"/>
      <c r="C46" s="102"/>
      <c r="D46" s="99"/>
      <c r="E46" s="101"/>
      <c r="F46" s="163"/>
    </row>
    <row r="47" spans="1:6" s="47" customFormat="1" ht="21" customHeight="1">
      <c r="A47" s="150"/>
      <c r="B47" s="99"/>
      <c r="C47" s="102" t="s">
        <v>3135</v>
      </c>
      <c r="D47" s="99" t="s">
        <v>12</v>
      </c>
      <c r="E47" s="101">
        <f>1*(1.25*2.1)</f>
        <v>2.625</v>
      </c>
      <c r="F47" s="163"/>
    </row>
    <row r="48" spans="1:6" s="47" customFormat="1" ht="12">
      <c r="A48" s="150"/>
      <c r="B48" s="99"/>
      <c r="C48" s="121" t="s">
        <v>3136</v>
      </c>
      <c r="D48" s="127" t="s">
        <v>12</v>
      </c>
      <c r="E48" s="105">
        <f>1*(1.25*2.1)</f>
        <v>2.625</v>
      </c>
      <c r="F48" s="163"/>
    </row>
    <row r="49" spans="1:6" s="47" customFormat="1" ht="12">
      <c r="A49" s="150"/>
      <c r="B49" s="99"/>
      <c r="C49" s="102" t="s">
        <v>2653</v>
      </c>
      <c r="D49" s="99" t="s">
        <v>12</v>
      </c>
      <c r="E49" s="101">
        <f>((0.7*1.35)+(1.8*1.35))+(1.8*1.05*2)</f>
        <v>7.1550000000000002</v>
      </c>
      <c r="F49" s="163"/>
    </row>
    <row r="50" spans="1:6" s="47" customFormat="1" ht="12">
      <c r="A50" s="150"/>
      <c r="B50" s="99"/>
      <c r="C50" s="121"/>
      <c r="D50" s="99"/>
      <c r="E50" s="105"/>
      <c r="F50" s="163"/>
    </row>
    <row r="51" spans="1:6" s="47" customFormat="1" ht="12" hidden="1">
      <c r="A51" s="150"/>
      <c r="B51" s="99"/>
      <c r="C51" s="121"/>
      <c r="D51" s="127"/>
      <c r="E51" s="105"/>
      <c r="F51" s="163"/>
    </row>
    <row r="52" spans="1:6" s="47" customFormat="1" ht="12">
      <c r="A52" s="150"/>
      <c r="B52" s="99"/>
      <c r="C52" s="102" t="s">
        <v>3164</v>
      </c>
      <c r="D52" s="99" t="s">
        <v>12</v>
      </c>
      <c r="E52" s="101">
        <f>0.8*2.1</f>
        <v>1.6800000000000002</v>
      </c>
      <c r="F52" s="163"/>
    </row>
    <row r="53" spans="1:6" s="47" customFormat="1" ht="12">
      <c r="A53" s="150"/>
      <c r="B53" s="99"/>
      <c r="C53" s="102" t="s">
        <v>3064</v>
      </c>
      <c r="D53" s="127" t="s">
        <v>12</v>
      </c>
      <c r="E53" s="101">
        <f>2.1*1</f>
        <v>2.1</v>
      </c>
      <c r="F53" s="163"/>
    </row>
    <row r="54" spans="1:6" s="47" customFormat="1" ht="12">
      <c r="A54" s="150"/>
      <c r="B54" s="99"/>
      <c r="C54" s="102"/>
      <c r="D54" s="99"/>
      <c r="E54" s="101"/>
      <c r="F54" s="163"/>
    </row>
    <row r="55" spans="1:6" s="47" customFormat="1" ht="12" hidden="1">
      <c r="A55" s="150"/>
      <c r="B55" s="99"/>
      <c r="C55" s="102"/>
      <c r="D55" s="99"/>
      <c r="E55" s="101"/>
      <c r="F55" s="163"/>
    </row>
    <row r="56" spans="1:6" s="47" customFormat="1" ht="12.6" customHeight="1">
      <c r="A56" s="150"/>
      <c r="B56" s="99"/>
      <c r="C56" s="102" t="s">
        <v>2552</v>
      </c>
      <c r="D56" s="99" t="s">
        <v>12</v>
      </c>
      <c r="E56" s="101">
        <f>7.4*2.5</f>
        <v>18.5</v>
      </c>
      <c r="F56" s="163"/>
    </row>
    <row r="57" spans="1:6" s="47" customFormat="1" ht="12">
      <c r="A57" s="150"/>
      <c r="B57" s="99"/>
      <c r="C57" s="102"/>
      <c r="D57" s="99"/>
      <c r="E57" s="101"/>
      <c r="F57" s="163"/>
    </row>
    <row r="58" spans="1:6">
      <c r="A58" s="25"/>
      <c r="B58" s="56"/>
      <c r="C58" s="92"/>
      <c r="D58" s="56"/>
      <c r="E58" s="74"/>
    </row>
    <row r="59" spans="1:6" ht="52.8" hidden="1">
      <c r="A59" s="25"/>
      <c r="B59" s="56">
        <v>20107</v>
      </c>
      <c r="C59" s="92" t="s">
        <v>19</v>
      </c>
      <c r="D59" s="56" t="s">
        <v>2930</v>
      </c>
      <c r="E59" s="74"/>
    </row>
    <row r="60" spans="1:6" ht="26.4" hidden="1">
      <c r="A60" s="25"/>
      <c r="B60" s="56">
        <v>20108</v>
      </c>
      <c r="C60" s="92" t="s">
        <v>20</v>
      </c>
      <c r="D60" s="56" t="s">
        <v>12</v>
      </c>
      <c r="E60" s="74"/>
    </row>
    <row r="61" spans="1:6" ht="26.4" hidden="1">
      <c r="A61" s="25"/>
      <c r="B61" s="56">
        <v>20109</v>
      </c>
      <c r="C61" s="92" t="s">
        <v>21</v>
      </c>
      <c r="D61" s="56" t="s">
        <v>12</v>
      </c>
      <c r="E61" s="74"/>
    </row>
    <row r="62" spans="1:6" ht="26.4" hidden="1">
      <c r="A62" s="25"/>
      <c r="B62" s="56">
        <v>20110</v>
      </c>
      <c r="C62" s="92" t="s">
        <v>22</v>
      </c>
      <c r="D62" s="56" t="s">
        <v>12</v>
      </c>
      <c r="E62" s="74"/>
    </row>
    <row r="63" spans="1:6" ht="26.4" hidden="1">
      <c r="A63" s="25"/>
      <c r="B63" s="56">
        <v>20111</v>
      </c>
      <c r="C63" s="92" t="s">
        <v>23</v>
      </c>
      <c r="D63" s="56" t="s">
        <v>12</v>
      </c>
      <c r="E63" s="74"/>
    </row>
    <row r="64" spans="1:6" ht="39.6" hidden="1">
      <c r="A64" s="25"/>
      <c r="B64" s="56">
        <v>20112</v>
      </c>
      <c r="C64" s="92" t="s">
        <v>24</v>
      </c>
      <c r="D64" s="56" t="s">
        <v>12</v>
      </c>
      <c r="E64" s="74"/>
    </row>
    <row r="65" spans="1:6" ht="26.4" hidden="1">
      <c r="A65" s="25"/>
      <c r="B65" s="56">
        <v>20113</v>
      </c>
      <c r="C65" s="92" t="s">
        <v>25</v>
      </c>
      <c r="D65" s="56" t="s">
        <v>12</v>
      </c>
      <c r="E65" s="74"/>
    </row>
    <row r="66" spans="1:6" ht="26.4" hidden="1">
      <c r="A66" s="25"/>
      <c r="B66" s="56">
        <v>20115</v>
      </c>
      <c r="C66" s="92" t="s">
        <v>26</v>
      </c>
      <c r="D66" s="56" t="s">
        <v>12</v>
      </c>
      <c r="E66" s="74"/>
    </row>
    <row r="67" spans="1:6" hidden="1">
      <c r="A67" s="25"/>
      <c r="B67" s="56">
        <v>20116</v>
      </c>
      <c r="C67" s="92" t="s">
        <v>27</v>
      </c>
      <c r="D67" s="56" t="s">
        <v>12</v>
      </c>
      <c r="E67" s="74"/>
    </row>
    <row r="68" spans="1:6" ht="26.4">
      <c r="A68" s="231" t="s">
        <v>3570</v>
      </c>
      <c r="B68" s="56">
        <v>20117</v>
      </c>
      <c r="C68" s="92" t="s">
        <v>28</v>
      </c>
      <c r="D68" s="56" t="s">
        <v>12</v>
      </c>
      <c r="E68" s="74">
        <f>ROUND((E69),2)</f>
        <v>0.4</v>
      </c>
    </row>
    <row r="69" spans="1:6" ht="22.8">
      <c r="A69" s="25"/>
      <c r="B69" s="56"/>
      <c r="C69" s="102" t="s">
        <v>3269</v>
      </c>
      <c r="D69" s="99" t="s">
        <v>12</v>
      </c>
      <c r="E69" s="101">
        <f>0.4</f>
        <v>0.4</v>
      </c>
    </row>
    <row r="70" spans="1:6">
      <c r="A70" s="25"/>
      <c r="B70" s="56"/>
      <c r="C70" s="92"/>
      <c r="D70" s="56"/>
      <c r="E70" s="74"/>
    </row>
    <row r="71" spans="1:6" ht="25.95" customHeight="1">
      <c r="A71" s="231" t="s">
        <v>3571</v>
      </c>
      <c r="B71" s="56">
        <v>20118</v>
      </c>
      <c r="C71" s="92" t="s">
        <v>29</v>
      </c>
      <c r="D71" s="56" t="s">
        <v>30</v>
      </c>
      <c r="E71" s="74">
        <f>ROUND(SUM(E73:E101),2)</f>
        <v>32.270000000000003</v>
      </c>
    </row>
    <row r="72" spans="1:6" s="47" customFormat="1" ht="22.8">
      <c r="A72" s="93"/>
      <c r="B72" s="99"/>
      <c r="C72" s="122" t="s">
        <v>2617</v>
      </c>
      <c r="D72" s="99"/>
      <c r="E72" s="101"/>
      <c r="F72" s="163"/>
    </row>
    <row r="73" spans="1:6" s="47" customFormat="1" ht="22.8">
      <c r="A73" s="93"/>
      <c r="B73" s="99"/>
      <c r="C73" s="102" t="s">
        <v>3054</v>
      </c>
      <c r="D73" s="99" t="s">
        <v>30</v>
      </c>
      <c r="E73" s="101">
        <f>(1*2.1*0.15)</f>
        <v>0.315</v>
      </c>
      <c r="F73" s="163"/>
    </row>
    <row r="74" spans="1:6" s="47" customFormat="1" ht="22.8">
      <c r="A74" s="93"/>
      <c r="B74" s="99"/>
      <c r="C74" s="102" t="s">
        <v>3055</v>
      </c>
      <c r="D74" s="99" t="s">
        <v>30</v>
      </c>
      <c r="E74" s="101">
        <f>(1*2.1*0.15)</f>
        <v>0.315</v>
      </c>
      <c r="F74" s="163"/>
    </row>
    <row r="75" spans="1:6" s="47" customFormat="1" ht="34.200000000000003">
      <c r="A75" s="93"/>
      <c r="B75" s="99"/>
      <c r="C75" s="102" t="s">
        <v>3066</v>
      </c>
      <c r="D75" s="99" t="s">
        <v>30</v>
      </c>
      <c r="E75" s="101">
        <f>((4.7+3.65+1.2)*3*0.15)-((1*2.1*0.15)*2)</f>
        <v>3.6674999999999995</v>
      </c>
      <c r="F75" s="163"/>
    </row>
    <row r="76" spans="1:6" s="47" customFormat="1" ht="22.8">
      <c r="A76" s="93"/>
      <c r="B76" s="99"/>
      <c r="C76" s="102" t="s">
        <v>2618</v>
      </c>
      <c r="D76" s="99" t="s">
        <v>30</v>
      </c>
      <c r="E76" s="101">
        <f>(1*2.1*0.15)</f>
        <v>0.315</v>
      </c>
      <c r="F76" s="163"/>
    </row>
    <row r="77" spans="1:6" s="47" customFormat="1" ht="22.8">
      <c r="A77" s="93"/>
      <c r="B77" s="99"/>
      <c r="C77" s="102" t="s">
        <v>3142</v>
      </c>
      <c r="D77" s="99" t="s">
        <v>30</v>
      </c>
      <c r="E77" s="101">
        <f>1*2.1*0.15</f>
        <v>0.315</v>
      </c>
      <c r="F77" s="163"/>
    </row>
    <row r="78" spans="1:6" s="47" customFormat="1" ht="22.8">
      <c r="A78" s="93"/>
      <c r="B78" s="99"/>
      <c r="C78" s="102" t="s">
        <v>3067</v>
      </c>
      <c r="D78" s="99" t="s">
        <v>30</v>
      </c>
      <c r="E78" s="101">
        <f>2*1*0.15</f>
        <v>0.3</v>
      </c>
      <c r="F78" s="163"/>
    </row>
    <row r="79" spans="1:6" s="47" customFormat="1" ht="45.6">
      <c r="A79" s="93"/>
      <c r="B79" s="99"/>
      <c r="C79" s="102" t="s">
        <v>3075</v>
      </c>
      <c r="D79" s="99" t="s">
        <v>30</v>
      </c>
      <c r="E79" s="101">
        <f>0.9*(2.1-0.4)*0.15</f>
        <v>0.22950000000000004</v>
      </c>
      <c r="F79" s="163"/>
    </row>
    <row r="80" spans="1:6" s="47" customFormat="1" ht="68.400000000000006">
      <c r="A80" s="93"/>
      <c r="B80" s="99"/>
      <c r="C80" s="102" t="s">
        <v>3095</v>
      </c>
      <c r="D80" s="99" t="s">
        <v>30</v>
      </c>
      <c r="E80" s="101">
        <f>(((2.25*4)+(2.25*2.3)+(2.25*2.85))-(3*2)-(0.9*(2.1-0.8)))*0.15</f>
        <v>2.0126250000000003</v>
      </c>
      <c r="F80" s="163"/>
    </row>
    <row r="81" spans="1:6" s="47" customFormat="1" ht="45.6">
      <c r="A81" s="93"/>
      <c r="B81" s="99"/>
      <c r="C81" s="102" t="s">
        <v>3101</v>
      </c>
      <c r="D81" s="99" t="s">
        <v>30</v>
      </c>
      <c r="E81" s="101">
        <f>((3.05*4)+(2.3*2.25)+(2.25*2.85)-(0.9*2.1)-(2*1*3))*0.15</f>
        <v>2.3846250000000002</v>
      </c>
      <c r="F81" s="163"/>
    </row>
    <row r="82" spans="1:6" s="47" customFormat="1" ht="45.6">
      <c r="A82" s="93"/>
      <c r="B82" s="99"/>
      <c r="C82" s="102" t="s">
        <v>3105</v>
      </c>
      <c r="D82" s="99" t="s">
        <v>30</v>
      </c>
      <c r="E82" s="101">
        <f>((3.05*4)+(2.3*2.25)+(2.25*2.85)-(0.9*2.1)-(2*1*3))*0.15</f>
        <v>2.3846250000000002</v>
      </c>
      <c r="F82" s="163"/>
    </row>
    <row r="83" spans="1:6" s="47" customFormat="1" ht="45.6">
      <c r="A83" s="93"/>
      <c r="B83" s="99"/>
      <c r="C83" s="102" t="s">
        <v>3108</v>
      </c>
      <c r="D83" s="99" t="s">
        <v>30</v>
      </c>
      <c r="E83" s="101">
        <f>((3.05*4)+(2.3*2.25)+(2.25*2.85)-(0.9*2.1)-(2*1*3))*0.15</f>
        <v>2.3846250000000002</v>
      </c>
      <c r="F83" s="163"/>
    </row>
    <row r="84" spans="1:6" s="47" customFormat="1" ht="68.400000000000006">
      <c r="A84" s="93"/>
      <c r="B84" s="99"/>
      <c r="C84" s="102" t="s">
        <v>3110</v>
      </c>
      <c r="D84" s="99" t="s">
        <v>30</v>
      </c>
      <c r="E84" s="101">
        <f>(((2.25*4)+(2.25*2.3)+(2.25*2.85))-(3*2)-(0.9*(2.1-0.8)))*0.15</f>
        <v>2.0126250000000003</v>
      </c>
      <c r="F84" s="163"/>
    </row>
    <row r="85" spans="1:6" s="47" customFormat="1" ht="22.8">
      <c r="A85" s="93"/>
      <c r="B85" s="99"/>
      <c r="C85" s="102" t="s">
        <v>2503</v>
      </c>
      <c r="D85" s="99" t="s">
        <v>30</v>
      </c>
      <c r="E85" s="101">
        <f>(2.25+2.25)*3*0.15</f>
        <v>2.0249999999999999</v>
      </c>
      <c r="F85" s="163"/>
    </row>
    <row r="86" spans="1:6" s="47" customFormat="1" ht="22.8">
      <c r="A86" s="93"/>
      <c r="B86" s="99"/>
      <c r="C86" s="102" t="s">
        <v>2504</v>
      </c>
      <c r="D86" s="99" t="s">
        <v>30</v>
      </c>
      <c r="E86" s="101">
        <f>(2.25+2.25)*3*0.15</f>
        <v>2.0249999999999999</v>
      </c>
      <c r="F86" s="163"/>
    </row>
    <row r="87" spans="1:6" s="47" customFormat="1" ht="22.8">
      <c r="A87" s="93"/>
      <c r="B87" s="99"/>
      <c r="C87" s="102" t="s">
        <v>3106</v>
      </c>
      <c r="D87" s="99" t="s">
        <v>30</v>
      </c>
      <c r="E87" s="101">
        <f>(2.25+2.25+2.6)*3*0.15</f>
        <v>3.1949999999999994</v>
      </c>
      <c r="F87" s="163"/>
    </row>
    <row r="88" spans="1:6" s="47" customFormat="1" ht="22.8">
      <c r="A88" s="93"/>
      <c r="B88" s="99"/>
      <c r="C88" s="102" t="s">
        <v>2505</v>
      </c>
      <c r="D88" s="99" t="s">
        <v>30</v>
      </c>
      <c r="E88" s="101">
        <f>(2.25+2.25)*3*0.15</f>
        <v>2.0249999999999999</v>
      </c>
      <c r="F88" s="163"/>
    </row>
    <row r="89" spans="1:6" s="47" customFormat="1" ht="34.200000000000003">
      <c r="A89" s="93"/>
      <c r="B89" s="99"/>
      <c r="C89" s="102" t="s">
        <v>2650</v>
      </c>
      <c r="D89" s="99" t="s">
        <v>30</v>
      </c>
      <c r="E89" s="101">
        <f>(8*3*0.15)-(1.25*2.1*0.15)</f>
        <v>3.2062499999999998</v>
      </c>
      <c r="F89" s="163"/>
    </row>
    <row r="90" spans="1:6" s="47" customFormat="1" ht="34.200000000000003">
      <c r="A90" s="93"/>
      <c r="B90" s="99"/>
      <c r="C90" s="102" t="s">
        <v>2654</v>
      </c>
      <c r="D90" s="99" t="s">
        <v>30</v>
      </c>
      <c r="E90" s="101">
        <f>((1.1+4.5+0.95)*1.5*0.15)-((0.7+1.78)*1.5*0.15)</f>
        <v>0.91574999999999995</v>
      </c>
      <c r="F90" s="163"/>
    </row>
    <row r="91" spans="1:6" s="47" customFormat="1" ht="22.8">
      <c r="A91" s="93"/>
      <c r="B91" s="99"/>
      <c r="C91" s="102" t="s">
        <v>2655</v>
      </c>
      <c r="D91" s="99" t="s">
        <v>30</v>
      </c>
      <c r="E91" s="101">
        <f>(1.2*1.2*0.15)</f>
        <v>0.216</v>
      </c>
      <c r="F91" s="163"/>
    </row>
    <row r="92" spans="1:6" s="47" customFormat="1" ht="22.8">
      <c r="A92" s="93"/>
      <c r="B92" s="99"/>
      <c r="C92" s="102" t="s">
        <v>3144</v>
      </c>
      <c r="D92" s="99" t="s">
        <v>30</v>
      </c>
      <c r="E92" s="101">
        <f>2*1*0.15</f>
        <v>0.3</v>
      </c>
      <c r="F92" s="163"/>
    </row>
    <row r="93" spans="1:6" s="47" customFormat="1" ht="12">
      <c r="A93" s="93"/>
      <c r="B93" s="99"/>
      <c r="C93" s="102"/>
      <c r="D93" s="99"/>
      <c r="E93" s="101"/>
      <c r="F93" s="163"/>
    </row>
    <row r="94" spans="1:6" s="47" customFormat="1" ht="12" hidden="1">
      <c r="A94" s="93"/>
      <c r="B94" s="99"/>
      <c r="C94" s="100"/>
      <c r="D94" s="99"/>
      <c r="E94" s="101"/>
      <c r="F94" s="163"/>
    </row>
    <row r="95" spans="1:6" s="47" customFormat="1" ht="12" hidden="1">
      <c r="A95" s="93"/>
      <c r="B95" s="99"/>
      <c r="C95" s="102"/>
      <c r="D95" s="99"/>
      <c r="E95" s="101"/>
      <c r="F95" s="163"/>
    </row>
    <row r="96" spans="1:6" s="47" customFormat="1" ht="12" hidden="1">
      <c r="A96" s="93"/>
      <c r="B96" s="99"/>
      <c r="C96" s="102"/>
      <c r="D96" s="99"/>
      <c r="E96" s="101"/>
      <c r="F96" s="163"/>
    </row>
    <row r="97" spans="1:6" s="47" customFormat="1" ht="12">
      <c r="A97" s="93"/>
      <c r="B97" s="99"/>
      <c r="C97" s="100" t="s">
        <v>2642</v>
      </c>
      <c r="D97" s="99"/>
      <c r="E97" s="101"/>
      <c r="F97" s="163"/>
    </row>
    <row r="98" spans="1:6" s="47" customFormat="1" ht="25.95" customHeight="1">
      <c r="A98" s="93"/>
      <c r="B98" s="99"/>
      <c r="C98" s="102" t="s">
        <v>2643</v>
      </c>
      <c r="D98" s="99" t="s">
        <v>2544</v>
      </c>
      <c r="E98" s="101">
        <f>14.31*0.15*0.75</f>
        <v>1.6098750000000002</v>
      </c>
      <c r="F98" s="163"/>
    </row>
    <row r="99" spans="1:6" s="47" customFormat="1" ht="12">
      <c r="A99" s="93"/>
      <c r="B99" s="99"/>
      <c r="C99" s="102"/>
      <c r="D99" s="99"/>
      <c r="E99" s="101"/>
      <c r="F99" s="163"/>
    </row>
    <row r="100" spans="1:6" s="47" customFormat="1" ht="12">
      <c r="A100" s="93"/>
      <c r="B100" s="99"/>
      <c r="C100" s="102" t="s">
        <v>3368</v>
      </c>
      <c r="D100" s="99"/>
      <c r="E100" s="101"/>
      <c r="F100" s="163"/>
    </row>
    <row r="101" spans="1:6" s="47" customFormat="1" ht="34.200000000000003">
      <c r="A101" s="93"/>
      <c r="B101" s="99"/>
      <c r="C101" s="102" t="s">
        <v>3369</v>
      </c>
      <c r="D101" s="99" t="s">
        <v>2544</v>
      </c>
      <c r="E101" s="101">
        <f>0.2*0.23*0.08*32</f>
        <v>0.11776000000000002</v>
      </c>
      <c r="F101" s="163"/>
    </row>
    <row r="102" spans="1:6">
      <c r="A102" s="43"/>
      <c r="B102" s="56"/>
      <c r="C102" s="92"/>
      <c r="D102" s="56"/>
      <c r="E102" s="74"/>
    </row>
    <row r="103" spans="1:6" ht="26.4" hidden="1">
      <c r="A103" s="43"/>
      <c r="B103" s="56">
        <v>20119</v>
      </c>
      <c r="C103" s="92" t="s">
        <v>31</v>
      </c>
      <c r="D103" s="56" t="s">
        <v>30</v>
      </c>
      <c r="E103" s="74"/>
    </row>
    <row r="104" spans="1:6" ht="26.4">
      <c r="A104" s="91" t="s">
        <v>3572</v>
      </c>
      <c r="B104" s="56">
        <v>20121</v>
      </c>
      <c r="C104" s="92" t="s">
        <v>32</v>
      </c>
      <c r="D104" s="56" t="s">
        <v>30</v>
      </c>
      <c r="E104" s="74">
        <f>ROUND(SUM(E106:E122),2)</f>
        <v>4.37</v>
      </c>
      <c r="F104" s="166"/>
    </row>
    <row r="105" spans="1:6" s="47" customFormat="1" ht="12" hidden="1">
      <c r="A105" s="93"/>
      <c r="B105" s="99"/>
      <c r="C105" s="100"/>
      <c r="D105" s="99"/>
      <c r="E105" s="101"/>
      <c r="F105" s="163"/>
    </row>
    <row r="106" spans="1:6" s="47" customFormat="1" ht="12" hidden="1">
      <c r="A106" s="93"/>
      <c r="B106" s="99"/>
      <c r="C106" s="102"/>
      <c r="D106" s="99"/>
      <c r="E106" s="101"/>
      <c r="F106" s="163"/>
    </row>
    <row r="107" spans="1:6" s="47" customFormat="1" ht="12" hidden="1">
      <c r="A107" s="93"/>
      <c r="B107" s="99"/>
      <c r="C107" s="102"/>
      <c r="D107" s="99"/>
      <c r="E107" s="101"/>
      <c r="F107" s="163"/>
    </row>
    <row r="108" spans="1:6" s="47" customFormat="1" ht="12">
      <c r="A108" s="93"/>
      <c r="B108" s="99"/>
      <c r="C108" s="102" t="s">
        <v>2659</v>
      </c>
      <c r="D108" s="99"/>
      <c r="E108" s="101"/>
      <c r="F108" s="163"/>
    </row>
    <row r="109" spans="1:6" s="47" customFormat="1" ht="22.8">
      <c r="A109" s="93"/>
      <c r="B109" s="99"/>
      <c r="C109" s="102" t="s">
        <v>2660</v>
      </c>
      <c r="D109" s="99" t="s">
        <v>30</v>
      </c>
      <c r="E109" s="101">
        <f>(0.6*4*0.1)+(1.1*4.5*0.1)</f>
        <v>0.7350000000000001</v>
      </c>
      <c r="F109" s="163"/>
    </row>
    <row r="110" spans="1:6" s="47" customFormat="1" ht="12">
      <c r="A110" s="93"/>
      <c r="B110" s="99"/>
      <c r="C110" s="102"/>
      <c r="D110" s="99"/>
      <c r="E110" s="101"/>
      <c r="F110" s="163"/>
    </row>
    <row r="111" spans="1:6" s="47" customFormat="1" ht="12">
      <c r="A111" s="93"/>
      <c r="B111" s="99"/>
      <c r="C111" s="123" t="s">
        <v>2662</v>
      </c>
      <c r="D111" s="127"/>
      <c r="E111" s="105"/>
      <c r="F111" s="163"/>
    </row>
    <row r="112" spans="1:6" s="47" customFormat="1" ht="34.200000000000003">
      <c r="A112" s="157"/>
      <c r="B112" s="158"/>
      <c r="C112" s="121" t="s">
        <v>2661</v>
      </c>
      <c r="D112" s="99" t="s">
        <v>30</v>
      </c>
      <c r="E112" s="105">
        <f xml:space="preserve"> (3.63 + 10.05 + 4.98 + 4.47 + 3.07 + 2.03 + 4.6)*0.1*0.15</f>
        <v>0.49244999999999994</v>
      </c>
      <c r="F112" s="163"/>
    </row>
    <row r="113" spans="1:6" s="47" customFormat="1" ht="12">
      <c r="A113" s="157"/>
      <c r="B113" s="158"/>
      <c r="C113" s="121"/>
      <c r="D113" s="99"/>
      <c r="E113" s="105"/>
      <c r="F113" s="163"/>
    </row>
    <row r="114" spans="1:6" s="47" customFormat="1" ht="12">
      <c r="A114" s="157"/>
      <c r="B114" s="158"/>
      <c r="C114" s="123" t="s">
        <v>3362</v>
      </c>
      <c r="D114" s="99"/>
      <c r="E114" s="105"/>
      <c r="F114" s="163"/>
    </row>
    <row r="115" spans="1:6" s="47" customFormat="1" ht="22.8">
      <c r="A115" s="157"/>
      <c r="B115" s="158"/>
      <c r="C115" s="121" t="s">
        <v>3389</v>
      </c>
      <c r="D115" s="99" t="s">
        <v>2544</v>
      </c>
      <c r="E115" s="105">
        <f>(6.6+6.6+2+3.25+2.8)*0.1*0.07</f>
        <v>0.14875000000000002</v>
      </c>
      <c r="F115" s="163"/>
    </row>
    <row r="116" spans="1:6" s="47" customFormat="1" ht="22.8">
      <c r="A116" s="157"/>
      <c r="B116" s="158"/>
      <c r="C116" s="121" t="s">
        <v>3390</v>
      </c>
      <c r="D116" s="99" t="s">
        <v>2544</v>
      </c>
      <c r="E116" s="105">
        <f>9*2.4*0.07</f>
        <v>1.512</v>
      </c>
      <c r="F116" s="163"/>
    </row>
    <row r="117" spans="1:6" s="47" customFormat="1" ht="45.6">
      <c r="A117" s="157"/>
      <c r="B117" s="158"/>
      <c r="C117" s="121" t="s">
        <v>3391</v>
      </c>
      <c r="D117" s="99" t="s">
        <v>2544</v>
      </c>
      <c r="E117" s="105">
        <f>(1.2 + 2.4 + 1.2 + 2.4 + 2.4 + 2.4 + 2.4 + 2.4 + 1.2 + 1.2 + 2.4 + 1.2 + 2.4 + 2.4 + 2.4 + 2.4 + 2.4 + 1.5 + 2.4 + 2.4 + 2.9 + 0.9 + 2.4 + 2.4)*0.1*0.07</f>
        <v>0.34789999999999993</v>
      </c>
      <c r="F117" s="163"/>
    </row>
    <row r="118" spans="1:6" s="47" customFormat="1" ht="45.6">
      <c r="A118" s="157"/>
      <c r="B118" s="158"/>
      <c r="C118" s="121" t="s">
        <v>3392</v>
      </c>
      <c r="D118" s="99" t="s">
        <v>2544</v>
      </c>
      <c r="E118" s="105">
        <f>(2.4 + 2.4 + 2.4 + 2.4 + 2.4 + 3 + 2.4 + 2.4 + 2.4 + 2.5 + 2.5 + 2.4 + 0.8 + 2.4 + 0.8 + 2.4 + 2.4)*0.1*0.07</f>
        <v>0.26879999999999998</v>
      </c>
      <c r="F118" s="163"/>
    </row>
    <row r="119" spans="1:6" s="47" customFormat="1" ht="22.8">
      <c r="A119" s="157"/>
      <c r="B119" s="158"/>
      <c r="C119" s="121" t="s">
        <v>3393</v>
      </c>
      <c r="D119" s="99" t="s">
        <v>2544</v>
      </c>
      <c r="E119" s="105">
        <f>((1.3*2.4)+(2.4*2.15))*0.07</f>
        <v>0.5796</v>
      </c>
      <c r="F119" s="163"/>
    </row>
    <row r="120" spans="1:6" s="47" customFormat="1" ht="34.200000000000003">
      <c r="A120" s="157"/>
      <c r="B120" s="158"/>
      <c r="C120" s="121" t="s">
        <v>3394</v>
      </c>
      <c r="D120" s="99" t="s">
        <v>2544</v>
      </c>
      <c r="E120" s="105">
        <f>( 2.4 + 1.4  + 2.4 + 2.4 + 2.4 + 2.4 + 2.4)*0.1*0.07</f>
        <v>0.11060000000000002</v>
      </c>
      <c r="F120" s="163"/>
    </row>
    <row r="121" spans="1:6" s="47" customFormat="1" ht="22.8">
      <c r="A121" s="157"/>
      <c r="B121" s="158"/>
      <c r="C121" s="121" t="s">
        <v>3395</v>
      </c>
      <c r="D121" s="99" t="s">
        <v>2544</v>
      </c>
      <c r="E121" s="105">
        <f>0.5*0.4*0.07</f>
        <v>1.4000000000000002E-2</v>
      </c>
      <c r="F121" s="163"/>
    </row>
    <row r="122" spans="1:6" s="47" customFormat="1" ht="34.200000000000003">
      <c r="A122" s="157"/>
      <c r="B122" s="158"/>
      <c r="C122" s="121" t="s">
        <v>3396</v>
      </c>
      <c r="D122" s="99" t="s">
        <v>2544</v>
      </c>
      <c r="E122" s="105">
        <f>(2.4 + 1.2 + 2.4 + 1.8 + 3 + 2.4 + 2.4 + 2.4 + 2.4 + 2.4)*0.1*0.07</f>
        <v>0.15959999999999999</v>
      </c>
      <c r="F122" s="163"/>
    </row>
    <row r="123" spans="1:6">
      <c r="A123" s="43"/>
      <c r="B123" s="56"/>
      <c r="C123" s="92"/>
      <c r="D123" s="56"/>
      <c r="E123" s="74"/>
    </row>
    <row r="124" spans="1:6" ht="26.4">
      <c r="A124" s="91" t="s">
        <v>3573</v>
      </c>
      <c r="B124" s="56">
        <v>20125</v>
      </c>
      <c r="C124" s="92" t="s">
        <v>33</v>
      </c>
      <c r="D124" s="56" t="s">
        <v>30</v>
      </c>
      <c r="E124" s="74">
        <f>ROUND(E125+E126,2)</f>
        <v>3.85</v>
      </c>
      <c r="F124" s="166"/>
    </row>
    <row r="125" spans="1:6" s="47" customFormat="1" ht="34.200000000000003">
      <c r="A125" s="93"/>
      <c r="B125" s="99"/>
      <c r="C125" s="102" t="s">
        <v>2640</v>
      </c>
      <c r="D125" s="99" t="s">
        <v>2544</v>
      </c>
      <c r="E125" s="101">
        <f>1.8*11.35*0.15</f>
        <v>3.0644999999999998</v>
      </c>
      <c r="F125" s="163"/>
    </row>
    <row r="126" spans="1:6" s="47" customFormat="1" ht="22.8">
      <c r="A126" s="93"/>
      <c r="B126" s="99"/>
      <c r="C126" s="102" t="s">
        <v>3200</v>
      </c>
      <c r="D126" s="99" t="s">
        <v>2544</v>
      </c>
      <c r="E126" s="101">
        <f>7.83*0.1</f>
        <v>0.78300000000000003</v>
      </c>
      <c r="F126" s="163"/>
    </row>
    <row r="127" spans="1:6">
      <c r="A127" s="43"/>
      <c r="B127" s="56"/>
      <c r="C127" s="92"/>
      <c r="D127" s="56"/>
      <c r="E127" s="74"/>
    </row>
    <row r="128" spans="1:6" ht="26.4" hidden="1">
      <c r="A128" s="43"/>
      <c r="B128" s="56">
        <v>20126</v>
      </c>
      <c r="C128" s="92" t="s">
        <v>34</v>
      </c>
      <c r="D128" s="56" t="s">
        <v>12</v>
      </c>
      <c r="E128" s="74"/>
    </row>
    <row r="129" spans="1:5" ht="26.4" hidden="1">
      <c r="A129" s="43"/>
      <c r="B129" s="56">
        <v>20127</v>
      </c>
      <c r="C129" s="92" t="s">
        <v>35</v>
      </c>
      <c r="D129" s="56" t="s">
        <v>30</v>
      </c>
      <c r="E129" s="74"/>
    </row>
    <row r="130" spans="1:5" ht="26.4" hidden="1">
      <c r="A130" s="43"/>
      <c r="B130" s="56">
        <v>20128</v>
      </c>
      <c r="C130" s="92" t="s">
        <v>36</v>
      </c>
      <c r="D130" s="56" t="s">
        <v>30</v>
      </c>
      <c r="E130" s="74"/>
    </row>
    <row r="131" spans="1:5" ht="26.4">
      <c r="A131" s="91" t="s">
        <v>3574</v>
      </c>
      <c r="B131" s="56">
        <v>20129</v>
      </c>
      <c r="C131" s="92" t="s">
        <v>37</v>
      </c>
      <c r="D131" s="56" t="s">
        <v>30</v>
      </c>
      <c r="E131" s="74">
        <f>ROUND(E132,2)</f>
        <v>0.64</v>
      </c>
    </row>
    <row r="132" spans="1:5" ht="22.8">
      <c r="A132" s="43"/>
      <c r="B132" s="56"/>
      <c r="C132" s="102" t="s">
        <v>2641</v>
      </c>
      <c r="D132" s="99" t="s">
        <v>30</v>
      </c>
      <c r="E132" s="101">
        <f>(1.38+1.38+11.55)*0.15*0.3</f>
        <v>0.64395000000000002</v>
      </c>
    </row>
    <row r="133" spans="1:5">
      <c r="A133" s="43"/>
      <c r="B133" s="56"/>
      <c r="C133" s="102"/>
      <c r="D133" s="99"/>
      <c r="E133" s="101"/>
    </row>
    <row r="134" spans="1:5" ht="26.4" hidden="1">
      <c r="A134" s="43"/>
      <c r="B134" s="56">
        <v>20130</v>
      </c>
      <c r="C134" s="92" t="s">
        <v>38</v>
      </c>
      <c r="D134" s="56" t="s">
        <v>39</v>
      </c>
      <c r="E134" s="74"/>
    </row>
    <row r="135" spans="1:5" ht="26.4" hidden="1">
      <c r="A135" s="43"/>
      <c r="B135" s="56">
        <v>20131</v>
      </c>
      <c r="C135" s="92" t="s">
        <v>40</v>
      </c>
      <c r="D135" s="56" t="s">
        <v>12</v>
      </c>
      <c r="E135" s="74"/>
    </row>
    <row r="136" spans="1:5" ht="26.4" hidden="1">
      <c r="A136" s="43"/>
      <c r="B136" s="56">
        <v>20132</v>
      </c>
      <c r="C136" s="92" t="s">
        <v>41</v>
      </c>
      <c r="D136" s="56" t="s">
        <v>12</v>
      </c>
      <c r="E136" s="74"/>
    </row>
    <row r="137" spans="1:5" ht="26.4" hidden="1">
      <c r="A137" s="43"/>
      <c r="B137" s="56">
        <v>20133</v>
      </c>
      <c r="C137" s="92" t="s">
        <v>42</v>
      </c>
      <c r="D137" s="56" t="s">
        <v>12</v>
      </c>
      <c r="E137" s="74"/>
    </row>
    <row r="138" spans="1:5" ht="26.4" hidden="1">
      <c r="A138" s="43"/>
      <c r="B138" s="56">
        <v>20134</v>
      </c>
      <c r="C138" s="92" t="s">
        <v>43</v>
      </c>
      <c r="D138" s="56" t="s">
        <v>12</v>
      </c>
      <c r="E138" s="74"/>
    </row>
    <row r="139" spans="1:5" ht="26.4" hidden="1">
      <c r="A139" s="43"/>
      <c r="B139" s="56">
        <v>20135</v>
      </c>
      <c r="C139" s="92" t="s">
        <v>44</v>
      </c>
      <c r="D139" s="56" t="s">
        <v>12</v>
      </c>
      <c r="E139" s="74"/>
    </row>
    <row r="140" spans="1:5" ht="26.4" hidden="1">
      <c r="A140" s="91"/>
      <c r="B140" s="56">
        <v>20136</v>
      </c>
      <c r="C140" s="92" t="s">
        <v>45</v>
      </c>
      <c r="D140" s="56" t="s">
        <v>12</v>
      </c>
      <c r="E140" s="74"/>
    </row>
    <row r="141" spans="1:5" hidden="1">
      <c r="A141" s="43"/>
      <c r="B141" s="56"/>
      <c r="C141" s="102"/>
      <c r="D141" s="99"/>
      <c r="E141" s="101"/>
    </row>
    <row r="142" spans="1:5" hidden="1">
      <c r="A142" s="43"/>
      <c r="B142" s="56"/>
      <c r="C142" s="92"/>
      <c r="D142" s="56"/>
      <c r="E142" s="74"/>
    </row>
    <row r="143" spans="1:5" ht="26.4" hidden="1">
      <c r="A143" s="43"/>
      <c r="B143" s="56">
        <v>20137</v>
      </c>
      <c r="C143" s="92" t="s">
        <v>46</v>
      </c>
      <c r="D143" s="56" t="s">
        <v>2930</v>
      </c>
      <c r="E143" s="74"/>
    </row>
    <row r="144" spans="1:5" ht="26.4" hidden="1">
      <c r="A144" s="43"/>
      <c r="B144" s="56">
        <v>20138</v>
      </c>
      <c r="C144" s="92" t="s">
        <v>47</v>
      </c>
      <c r="D144" s="56" t="s">
        <v>2930</v>
      </c>
      <c r="E144" s="74"/>
    </row>
    <row r="145" spans="1:6" ht="26.4">
      <c r="A145" s="91" t="s">
        <v>3575</v>
      </c>
      <c r="B145" s="56">
        <v>20139</v>
      </c>
      <c r="C145" s="92" t="s">
        <v>48</v>
      </c>
      <c r="D145" s="56" t="s">
        <v>12</v>
      </c>
      <c r="E145" s="74">
        <f>ROUND(SUM(E146:E147),2)</f>
        <v>12.81</v>
      </c>
    </row>
    <row r="146" spans="1:6" ht="19.2" customHeight="1">
      <c r="A146" s="93"/>
      <c r="B146" s="99"/>
      <c r="C146" s="102" t="s">
        <v>2651</v>
      </c>
      <c r="D146" s="99" t="s">
        <v>12</v>
      </c>
      <c r="E146" s="101">
        <f>3*0.5</f>
        <v>1.5</v>
      </c>
    </row>
    <row r="147" spans="1:6" ht="49.2" customHeight="1">
      <c r="A147" s="93"/>
      <c r="B147" s="99"/>
      <c r="C147" s="102" t="s">
        <v>2652</v>
      </c>
      <c r="D147" s="99" t="s">
        <v>12</v>
      </c>
      <c r="E147" s="101">
        <f>(2.1*0.95*2)+(2.1*0.95*2)+((1.85*0.45*2)+(1.85*0.45*2))</f>
        <v>11.309999999999999</v>
      </c>
    </row>
    <row r="148" spans="1:6">
      <c r="A148" s="43"/>
      <c r="B148" s="56"/>
      <c r="C148" s="92"/>
      <c r="D148" s="56"/>
      <c r="E148" s="74"/>
    </row>
    <row r="149" spans="1:6" ht="39.6">
      <c r="A149" s="91" t="s">
        <v>3576</v>
      </c>
      <c r="B149" s="56">
        <v>20140</v>
      </c>
      <c r="C149" s="92" t="s">
        <v>2622</v>
      </c>
      <c r="D149" s="56" t="s">
        <v>2930</v>
      </c>
      <c r="E149" s="74">
        <f>ROUND(SUM(E152:E198),2)</f>
        <v>140</v>
      </c>
      <c r="F149" s="166"/>
    </row>
    <row r="150" spans="1:6" ht="63.6" customHeight="1">
      <c r="A150" s="43"/>
      <c r="B150" s="56"/>
      <c r="C150" s="156" t="s">
        <v>3234</v>
      </c>
      <c r="D150" s="56"/>
      <c r="E150" s="74"/>
    </row>
    <row r="151" spans="1:6">
      <c r="A151" s="43"/>
      <c r="B151" s="56"/>
      <c r="C151" s="100" t="s">
        <v>3255</v>
      </c>
      <c r="D151" s="56"/>
      <c r="E151" s="74"/>
    </row>
    <row r="152" spans="1:6">
      <c r="A152" s="93"/>
      <c r="B152" s="99"/>
      <c r="C152" s="102" t="s">
        <v>2553</v>
      </c>
      <c r="D152" s="99" t="s">
        <v>2930</v>
      </c>
      <c r="E152" s="101">
        <v>1</v>
      </c>
    </row>
    <row r="153" spans="1:6">
      <c r="A153" s="93"/>
      <c r="B153" s="99"/>
      <c r="C153" s="102" t="s">
        <v>2646</v>
      </c>
      <c r="D153" s="99" t="s">
        <v>2930</v>
      </c>
      <c r="E153" s="101">
        <v>8</v>
      </c>
    </row>
    <row r="154" spans="1:6">
      <c r="A154" s="93"/>
      <c r="B154" s="99"/>
      <c r="C154" s="102" t="s">
        <v>2647</v>
      </c>
      <c r="D154" s="99" t="s">
        <v>2930</v>
      </c>
      <c r="E154" s="101">
        <v>8</v>
      </c>
    </row>
    <row r="155" spans="1:6">
      <c r="A155" s="93"/>
      <c r="B155" s="99"/>
      <c r="C155" s="102"/>
      <c r="D155" s="99"/>
      <c r="E155" s="101"/>
    </row>
    <row r="156" spans="1:6">
      <c r="A156" s="93"/>
      <c r="B156" s="99"/>
      <c r="C156" s="102" t="s">
        <v>3240</v>
      </c>
      <c r="D156" s="99"/>
      <c r="E156" s="101"/>
    </row>
    <row r="157" spans="1:6">
      <c r="A157" s="93"/>
      <c r="B157" s="99"/>
      <c r="C157" s="102" t="s">
        <v>2644</v>
      </c>
      <c r="D157" s="99" t="s">
        <v>2930</v>
      </c>
      <c r="E157" s="101">
        <v>8</v>
      </c>
    </row>
    <row r="158" spans="1:6">
      <c r="A158" s="93"/>
      <c r="B158" s="99"/>
      <c r="C158" s="102" t="s">
        <v>2645</v>
      </c>
      <c r="D158" s="99" t="s">
        <v>2930</v>
      </c>
      <c r="E158" s="101">
        <v>8</v>
      </c>
    </row>
    <row r="159" spans="1:6">
      <c r="A159" s="93"/>
      <c r="B159" s="99"/>
      <c r="C159" s="102" t="s">
        <v>2524</v>
      </c>
      <c r="D159" s="99" t="s">
        <v>2930</v>
      </c>
      <c r="E159" s="101">
        <v>1</v>
      </c>
    </row>
    <row r="160" spans="1:6">
      <c r="A160" s="93"/>
      <c r="B160" s="99"/>
      <c r="C160" s="102"/>
      <c r="D160" s="99"/>
      <c r="E160" s="101"/>
    </row>
    <row r="161" spans="1:5">
      <c r="A161" s="93"/>
      <c r="B161" s="99"/>
      <c r="C161" s="102" t="s">
        <v>3241</v>
      </c>
      <c r="D161" s="99"/>
      <c r="E161" s="101"/>
    </row>
    <row r="162" spans="1:5">
      <c r="A162" s="93"/>
      <c r="B162" s="99"/>
      <c r="C162" s="102" t="s">
        <v>3244</v>
      </c>
      <c r="D162" s="99" t="s">
        <v>2930</v>
      </c>
      <c r="E162" s="101">
        <v>2</v>
      </c>
    </row>
    <row r="163" spans="1:5">
      <c r="A163" s="93"/>
      <c r="B163" s="99"/>
      <c r="C163" s="102" t="s">
        <v>3243</v>
      </c>
      <c r="D163" s="99" t="s">
        <v>2930</v>
      </c>
      <c r="E163" s="101">
        <v>2</v>
      </c>
    </row>
    <row r="164" spans="1:5">
      <c r="A164" s="93"/>
      <c r="B164" s="99"/>
      <c r="C164" s="102" t="s">
        <v>3245</v>
      </c>
      <c r="D164" s="99" t="s">
        <v>2930</v>
      </c>
      <c r="E164" s="101">
        <v>1</v>
      </c>
    </row>
    <row r="165" spans="1:5">
      <c r="A165" s="93"/>
      <c r="B165" s="99"/>
      <c r="C165" s="102"/>
      <c r="D165" s="99"/>
      <c r="E165" s="101"/>
    </row>
    <row r="166" spans="1:5">
      <c r="A166" s="93"/>
      <c r="B166" s="99"/>
      <c r="C166" s="102" t="s">
        <v>3246</v>
      </c>
      <c r="D166" s="99"/>
      <c r="E166" s="101"/>
    </row>
    <row r="167" spans="1:5">
      <c r="A167" s="93"/>
      <c r="B167" s="99"/>
      <c r="C167" s="102" t="s">
        <v>3248</v>
      </c>
      <c r="D167" s="99" t="s">
        <v>2930</v>
      </c>
      <c r="E167" s="101">
        <v>8</v>
      </c>
    </row>
    <row r="168" spans="1:5">
      <c r="A168" s="93"/>
      <c r="B168" s="99"/>
      <c r="C168" s="102" t="s">
        <v>3249</v>
      </c>
      <c r="D168" s="99" t="s">
        <v>2930</v>
      </c>
      <c r="E168" s="101">
        <v>12</v>
      </c>
    </row>
    <row r="169" spans="1:5">
      <c r="A169" s="93"/>
      <c r="B169" s="99"/>
      <c r="C169" s="102"/>
      <c r="D169" s="99"/>
      <c r="E169" s="101"/>
    </row>
    <row r="170" spans="1:5">
      <c r="A170" s="93"/>
      <c r="B170" s="99"/>
      <c r="C170" s="102" t="s">
        <v>3251</v>
      </c>
      <c r="D170" s="99"/>
      <c r="E170" s="101"/>
    </row>
    <row r="171" spans="1:5">
      <c r="A171" s="93"/>
      <c r="B171" s="99"/>
      <c r="C171" s="102" t="s">
        <v>3248</v>
      </c>
      <c r="D171" s="99" t="s">
        <v>2930</v>
      </c>
      <c r="E171" s="101">
        <v>8</v>
      </c>
    </row>
    <row r="172" spans="1:5">
      <c r="A172" s="93"/>
      <c r="B172" s="99"/>
      <c r="C172" s="102" t="s">
        <v>3249</v>
      </c>
      <c r="D172" s="99" t="s">
        <v>2930</v>
      </c>
      <c r="E172" s="101">
        <v>12</v>
      </c>
    </row>
    <row r="173" spans="1:5">
      <c r="A173" s="93"/>
      <c r="B173" s="99"/>
      <c r="C173" s="102"/>
      <c r="D173" s="99"/>
      <c r="E173" s="101"/>
    </row>
    <row r="174" spans="1:5">
      <c r="A174" s="93"/>
      <c r="B174" s="99"/>
      <c r="C174" s="102" t="s">
        <v>3250</v>
      </c>
      <c r="D174" s="99"/>
      <c r="E174" s="101"/>
    </row>
    <row r="175" spans="1:5">
      <c r="A175" s="93"/>
      <c r="B175" s="99"/>
      <c r="C175" s="102" t="s">
        <v>3253</v>
      </c>
      <c r="D175" s="99" t="s">
        <v>2930</v>
      </c>
      <c r="E175" s="101">
        <v>1</v>
      </c>
    </row>
    <row r="176" spans="1:5">
      <c r="A176" s="93"/>
      <c r="B176" s="99"/>
      <c r="C176" s="102" t="s">
        <v>3242</v>
      </c>
      <c r="D176" s="99" t="s">
        <v>2930</v>
      </c>
      <c r="E176" s="101">
        <v>8</v>
      </c>
    </row>
    <row r="177" spans="1:5">
      <c r="A177" s="93"/>
      <c r="B177" s="99"/>
      <c r="C177" s="102" t="s">
        <v>3247</v>
      </c>
      <c r="D177" s="99" t="s">
        <v>2930</v>
      </c>
      <c r="E177" s="101">
        <v>8</v>
      </c>
    </row>
    <row r="178" spans="1:5">
      <c r="A178" s="93"/>
      <c r="B178" s="99"/>
      <c r="C178" s="102"/>
      <c r="D178" s="99"/>
      <c r="E178" s="101"/>
    </row>
    <row r="179" spans="1:5">
      <c r="A179" s="93"/>
      <c r="B179" s="99"/>
      <c r="C179" s="102" t="s">
        <v>3252</v>
      </c>
      <c r="D179" s="99"/>
      <c r="E179" s="101"/>
    </row>
    <row r="180" spans="1:5">
      <c r="A180" s="93"/>
      <c r="B180" s="99"/>
      <c r="C180" s="102" t="s">
        <v>3242</v>
      </c>
      <c r="D180" s="99" t="s">
        <v>2930</v>
      </c>
      <c r="E180" s="101">
        <v>1</v>
      </c>
    </row>
    <row r="181" spans="1:5">
      <c r="A181" s="93"/>
      <c r="B181" s="99"/>
      <c r="C181" s="102"/>
      <c r="D181" s="99"/>
      <c r="E181" s="101"/>
    </row>
    <row r="182" spans="1:5">
      <c r="A182" s="93"/>
      <c r="B182" s="99"/>
      <c r="C182" s="102" t="s">
        <v>3254</v>
      </c>
      <c r="D182" s="99"/>
      <c r="E182" s="101"/>
    </row>
    <row r="183" spans="1:5" hidden="1">
      <c r="A183" s="93"/>
      <c r="B183" s="99"/>
      <c r="C183" s="102"/>
      <c r="D183" s="99"/>
      <c r="E183" s="101"/>
    </row>
    <row r="184" spans="1:5">
      <c r="A184" s="93"/>
      <c r="B184" s="99"/>
      <c r="C184" s="102" t="s">
        <v>3242</v>
      </c>
      <c r="D184" s="99" t="s">
        <v>2930</v>
      </c>
      <c r="E184" s="101">
        <v>8</v>
      </c>
    </row>
    <row r="185" spans="1:5">
      <c r="A185" s="93"/>
      <c r="B185" s="99"/>
      <c r="C185" s="102" t="s">
        <v>3247</v>
      </c>
      <c r="D185" s="99" t="s">
        <v>2930</v>
      </c>
      <c r="E185" s="101">
        <v>8</v>
      </c>
    </row>
    <row r="186" spans="1:5">
      <c r="A186" s="93"/>
      <c r="B186" s="99"/>
      <c r="C186" s="102"/>
      <c r="D186" s="99"/>
      <c r="E186" s="101"/>
    </row>
    <row r="187" spans="1:5">
      <c r="A187" s="93"/>
      <c r="B187" s="99"/>
      <c r="C187" s="102" t="s">
        <v>3260</v>
      </c>
      <c r="D187" s="99"/>
      <c r="E187" s="101"/>
    </row>
    <row r="188" spans="1:5">
      <c r="A188" s="93"/>
      <c r="B188" s="99"/>
      <c r="C188" s="102" t="s">
        <v>3248</v>
      </c>
      <c r="D188" s="99" t="s">
        <v>2930</v>
      </c>
      <c r="E188" s="101">
        <v>8</v>
      </c>
    </row>
    <row r="189" spans="1:5">
      <c r="A189" s="93"/>
      <c r="B189" s="99"/>
      <c r="C189" s="102" t="s">
        <v>3249</v>
      </c>
      <c r="D189" s="99" t="s">
        <v>2930</v>
      </c>
      <c r="E189" s="101">
        <v>12</v>
      </c>
    </row>
    <row r="190" spans="1:5">
      <c r="A190" s="93"/>
      <c r="B190" s="99"/>
      <c r="C190" s="102"/>
      <c r="D190" s="99"/>
      <c r="E190" s="101"/>
    </row>
    <row r="191" spans="1:5">
      <c r="A191" s="93"/>
      <c r="B191" s="99"/>
      <c r="C191" s="102" t="s">
        <v>2656</v>
      </c>
      <c r="D191" s="99" t="s">
        <v>2930</v>
      </c>
      <c r="E191" s="101">
        <v>1</v>
      </c>
    </row>
    <row r="192" spans="1:5">
      <c r="A192" s="93"/>
      <c r="B192" s="99"/>
      <c r="C192" s="102" t="s">
        <v>2657</v>
      </c>
      <c r="D192" s="99" t="s">
        <v>2930</v>
      </c>
      <c r="E192" s="101">
        <v>1</v>
      </c>
    </row>
    <row r="193" spans="1:6">
      <c r="A193" s="93"/>
      <c r="B193" s="99"/>
      <c r="C193" s="102" t="s">
        <v>2658</v>
      </c>
      <c r="D193" s="99" t="s">
        <v>2930</v>
      </c>
      <c r="E193" s="101">
        <v>1</v>
      </c>
    </row>
    <row r="194" spans="1:6">
      <c r="A194" s="93"/>
      <c r="B194" s="99"/>
      <c r="C194" s="102"/>
      <c r="D194" s="99"/>
      <c r="E194" s="101"/>
    </row>
    <row r="195" spans="1:6">
      <c r="A195" s="93"/>
      <c r="B195" s="99"/>
      <c r="C195" s="102" t="s">
        <v>3256</v>
      </c>
      <c r="D195" s="99"/>
      <c r="E195" s="101"/>
    </row>
    <row r="196" spans="1:6">
      <c r="A196" s="93"/>
      <c r="B196" s="99"/>
      <c r="C196" s="102" t="s">
        <v>3257</v>
      </c>
      <c r="D196" s="99" t="s">
        <v>2930</v>
      </c>
      <c r="E196" s="101">
        <v>1</v>
      </c>
    </row>
    <row r="197" spans="1:6">
      <c r="A197" s="93"/>
      <c r="B197" s="99"/>
      <c r="C197" s="102" t="s">
        <v>3258</v>
      </c>
      <c r="D197" s="99" t="s">
        <v>2930</v>
      </c>
      <c r="E197" s="101">
        <v>1</v>
      </c>
    </row>
    <row r="198" spans="1:6">
      <c r="A198" s="93"/>
      <c r="B198" s="99"/>
      <c r="C198" s="102" t="s">
        <v>3259</v>
      </c>
      <c r="D198" s="99" t="s">
        <v>2930</v>
      </c>
      <c r="E198" s="101">
        <v>2</v>
      </c>
    </row>
    <row r="199" spans="1:6">
      <c r="A199" s="43"/>
      <c r="B199" s="56"/>
      <c r="C199" s="92"/>
      <c r="D199" s="56"/>
      <c r="E199" s="74"/>
    </row>
    <row r="200" spans="1:6" ht="26.4" hidden="1">
      <c r="A200" s="43"/>
      <c r="B200" s="56">
        <v>20141</v>
      </c>
      <c r="C200" s="92" t="s">
        <v>49</v>
      </c>
      <c r="D200" s="56" t="s">
        <v>2930</v>
      </c>
      <c r="E200" s="74"/>
    </row>
    <row r="201" spans="1:6" hidden="1">
      <c r="A201" s="43"/>
      <c r="B201" s="56">
        <v>20142</v>
      </c>
      <c r="C201" s="92" t="s">
        <v>50</v>
      </c>
      <c r="D201" s="56" t="s">
        <v>39</v>
      </c>
      <c r="E201" s="74"/>
    </row>
    <row r="202" spans="1:6" ht="26.4" hidden="1">
      <c r="A202" s="43"/>
      <c r="B202" s="56">
        <v>20143</v>
      </c>
      <c r="C202" s="92" t="s">
        <v>51</v>
      </c>
      <c r="D202" s="56" t="s">
        <v>39</v>
      </c>
      <c r="E202" s="74"/>
    </row>
    <row r="203" spans="1:6" ht="26.4" hidden="1">
      <c r="A203" s="43"/>
      <c r="B203" s="56">
        <v>20144</v>
      </c>
      <c r="C203" s="92" t="s">
        <v>52</v>
      </c>
      <c r="D203" s="56" t="s">
        <v>12</v>
      </c>
      <c r="E203" s="74"/>
    </row>
    <row r="204" spans="1:6" ht="26.4" hidden="1">
      <c r="A204" s="43"/>
      <c r="B204" s="56">
        <v>20145</v>
      </c>
      <c r="C204" s="92" t="s">
        <v>53</v>
      </c>
      <c r="D204" s="56" t="s">
        <v>2930</v>
      </c>
      <c r="E204" s="74"/>
    </row>
    <row r="205" spans="1:6" ht="26.4" hidden="1">
      <c r="A205" s="43"/>
      <c r="B205" s="56">
        <v>20146</v>
      </c>
      <c r="C205" s="92" t="s">
        <v>54</v>
      </c>
      <c r="D205" s="56" t="s">
        <v>2930</v>
      </c>
      <c r="E205" s="74"/>
    </row>
    <row r="206" spans="1:6" ht="26.4">
      <c r="A206" s="91" t="s">
        <v>3577</v>
      </c>
      <c r="B206" s="56">
        <v>20147</v>
      </c>
      <c r="C206" s="92" t="s">
        <v>55</v>
      </c>
      <c r="D206" s="56" t="s">
        <v>12</v>
      </c>
      <c r="E206" s="74">
        <f>ROUND(SUM(E208:E228),2)</f>
        <v>1573.86</v>
      </c>
      <c r="F206" s="166"/>
    </row>
    <row r="207" spans="1:6" s="47" customFormat="1" ht="48">
      <c r="A207" s="93"/>
      <c r="B207" s="99"/>
      <c r="C207" s="156" t="s">
        <v>2623</v>
      </c>
      <c r="D207" s="99"/>
      <c r="E207" s="101"/>
      <c r="F207" s="163"/>
    </row>
    <row r="208" spans="1:6" s="47" customFormat="1" ht="12">
      <c r="A208" s="93"/>
      <c r="B208" s="99"/>
      <c r="C208" s="102" t="s">
        <v>2506</v>
      </c>
      <c r="D208" s="99" t="s">
        <v>12</v>
      </c>
      <c r="E208" s="101">
        <v>38.799999999999997</v>
      </c>
      <c r="F208" s="163"/>
    </row>
    <row r="209" spans="1:6" s="47" customFormat="1" ht="12">
      <c r="A209" s="93"/>
      <c r="B209" s="99"/>
      <c r="C209" s="102" t="s">
        <v>2507</v>
      </c>
      <c r="D209" s="99" t="s">
        <v>12</v>
      </c>
      <c r="E209" s="101">
        <v>3.84</v>
      </c>
      <c r="F209" s="163"/>
    </row>
    <row r="210" spans="1:6" s="47" customFormat="1" ht="12">
      <c r="A210" s="93"/>
      <c r="B210" s="99"/>
      <c r="C210" s="102" t="s">
        <v>2508</v>
      </c>
      <c r="D210" s="99" t="s">
        <v>12</v>
      </c>
      <c r="E210" s="101">
        <v>17.63</v>
      </c>
      <c r="F210" s="163"/>
    </row>
    <row r="211" spans="1:6" s="47" customFormat="1" ht="12">
      <c r="A211" s="93"/>
      <c r="B211" s="99"/>
      <c r="C211" s="102" t="s">
        <v>2509</v>
      </c>
      <c r="D211" s="99" t="s">
        <v>12</v>
      </c>
      <c r="E211" s="101">
        <v>15.93</v>
      </c>
      <c r="F211" s="163"/>
    </row>
    <row r="212" spans="1:6" s="47" customFormat="1" ht="22.8">
      <c r="A212" s="93"/>
      <c r="B212" s="99"/>
      <c r="C212" s="102" t="s">
        <v>3219</v>
      </c>
      <c r="D212" s="99" t="s">
        <v>12</v>
      </c>
      <c r="E212" s="101">
        <f>3+433.64</f>
        <v>436.64</v>
      </c>
      <c r="F212" s="163"/>
    </row>
    <row r="213" spans="1:6" s="47" customFormat="1" ht="12">
      <c r="A213" s="93"/>
      <c r="B213" s="99"/>
      <c r="C213" s="102" t="s">
        <v>2523</v>
      </c>
      <c r="D213" s="99" t="s">
        <v>12</v>
      </c>
      <c r="E213" s="101">
        <v>47.66</v>
      </c>
      <c r="F213" s="163"/>
    </row>
    <row r="214" spans="1:6" s="47" customFormat="1" ht="12">
      <c r="A214" s="93"/>
      <c r="B214" s="99"/>
      <c r="C214" s="102" t="s">
        <v>2524</v>
      </c>
      <c r="D214" s="99" t="s">
        <v>12</v>
      </c>
      <c r="E214" s="101">
        <v>5.0999999999999996</v>
      </c>
      <c r="F214" s="163"/>
    </row>
    <row r="215" spans="1:6" s="47" customFormat="1" ht="12">
      <c r="A215" s="93"/>
      <c r="B215" s="99"/>
      <c r="C215" s="102" t="s">
        <v>2525</v>
      </c>
      <c r="D215" s="99" t="s">
        <v>12</v>
      </c>
      <c r="E215" s="101">
        <v>47.66</v>
      </c>
      <c r="F215" s="163"/>
    </row>
    <row r="216" spans="1:6" s="47" customFormat="1" ht="12">
      <c r="A216" s="93"/>
      <c r="B216" s="99"/>
      <c r="C216" s="102" t="s">
        <v>2526</v>
      </c>
      <c r="D216" s="99" t="s">
        <v>12</v>
      </c>
      <c r="E216" s="101">
        <v>15</v>
      </c>
      <c r="F216" s="163"/>
    </row>
    <row r="217" spans="1:6" s="47" customFormat="1" ht="12">
      <c r="A217" s="93"/>
      <c r="B217" s="99"/>
      <c r="C217" s="102" t="s">
        <v>2511</v>
      </c>
      <c r="D217" s="99" t="s">
        <v>12</v>
      </c>
      <c r="E217" s="101">
        <v>78.8</v>
      </c>
      <c r="F217" s="163"/>
    </row>
    <row r="218" spans="1:6" s="47" customFormat="1" ht="12">
      <c r="A218" s="93"/>
      <c r="B218" s="99"/>
      <c r="C218" s="102" t="s">
        <v>2512</v>
      </c>
      <c r="D218" s="99" t="s">
        <v>12</v>
      </c>
      <c r="E218" s="101">
        <v>78.8</v>
      </c>
      <c r="F218" s="163"/>
    </row>
    <row r="219" spans="1:6" s="47" customFormat="1" ht="12">
      <c r="A219" s="93"/>
      <c r="B219" s="99"/>
      <c r="C219" s="102" t="s">
        <v>2513</v>
      </c>
      <c r="D219" s="99" t="s">
        <v>12</v>
      </c>
      <c r="E219" s="101">
        <v>78.8</v>
      </c>
      <c r="F219" s="163"/>
    </row>
    <row r="220" spans="1:6" s="47" customFormat="1" ht="12">
      <c r="A220" s="93"/>
      <c r="B220" s="99"/>
      <c r="C220" s="102" t="s">
        <v>2514</v>
      </c>
      <c r="D220" s="99" t="s">
        <v>12</v>
      </c>
      <c r="E220" s="101">
        <v>78.8</v>
      </c>
      <c r="F220" s="163"/>
    </row>
    <row r="221" spans="1:6" s="47" customFormat="1" ht="12">
      <c r="A221" s="93"/>
      <c r="B221" s="99"/>
      <c r="C221" s="102" t="s">
        <v>2515</v>
      </c>
      <c r="D221" s="99" t="s">
        <v>12</v>
      </c>
      <c r="E221" s="101">
        <v>78.8</v>
      </c>
      <c r="F221" s="163"/>
    </row>
    <row r="222" spans="1:6" s="47" customFormat="1" ht="12">
      <c r="A222" s="93"/>
      <c r="B222" s="99"/>
      <c r="C222" s="102" t="s">
        <v>2516</v>
      </c>
      <c r="D222" s="99" t="s">
        <v>12</v>
      </c>
      <c r="E222" s="101">
        <v>78.8</v>
      </c>
      <c r="F222" s="163"/>
    </row>
    <row r="223" spans="1:6" s="47" customFormat="1" ht="12">
      <c r="A223" s="93"/>
      <c r="B223" s="99"/>
      <c r="C223" s="102" t="s">
        <v>2517</v>
      </c>
      <c r="D223" s="99" t="s">
        <v>12</v>
      </c>
      <c r="E223" s="101">
        <v>78.8</v>
      </c>
      <c r="F223" s="163"/>
    </row>
    <row r="224" spans="1:6" s="47" customFormat="1" ht="12">
      <c r="A224" s="93"/>
      <c r="B224" s="99"/>
      <c r="C224" s="102" t="s">
        <v>2518</v>
      </c>
      <c r="D224" s="99" t="s">
        <v>12</v>
      </c>
      <c r="E224" s="101">
        <v>78.8</v>
      </c>
      <c r="F224" s="163"/>
    </row>
    <row r="225" spans="1:6" s="47" customFormat="1" ht="12">
      <c r="A225" s="93"/>
      <c r="B225" s="99"/>
      <c r="C225" s="102" t="s">
        <v>2519</v>
      </c>
      <c r="D225" s="99" t="s">
        <v>12</v>
      </c>
      <c r="E225" s="101">
        <v>78.8</v>
      </c>
      <c r="F225" s="163"/>
    </row>
    <row r="226" spans="1:6" s="47" customFormat="1" ht="12">
      <c r="A226" s="93"/>
      <c r="B226" s="99"/>
      <c r="C226" s="102" t="s">
        <v>2520</v>
      </c>
      <c r="D226" s="99" t="s">
        <v>12</v>
      </c>
      <c r="E226" s="101">
        <v>78.8</v>
      </c>
      <c r="F226" s="163"/>
    </row>
    <row r="227" spans="1:6" s="47" customFormat="1" ht="12">
      <c r="A227" s="93"/>
      <c r="B227" s="99"/>
      <c r="C227" s="102" t="s">
        <v>2521</v>
      </c>
      <c r="D227" s="99" t="s">
        <v>12</v>
      </c>
      <c r="E227" s="101">
        <v>78.8</v>
      </c>
      <c r="F227" s="163"/>
    </row>
    <row r="228" spans="1:6" s="47" customFormat="1" ht="12">
      <c r="A228" s="93"/>
      <c r="B228" s="99"/>
      <c r="C228" s="102" t="s">
        <v>2659</v>
      </c>
      <c r="D228" s="99" t="s">
        <v>12</v>
      </c>
      <c r="E228" s="101">
        <v>78.8</v>
      </c>
      <c r="F228" s="163"/>
    </row>
    <row r="229" spans="1:6">
      <c r="A229" s="43"/>
      <c r="B229" s="56"/>
      <c r="C229" s="92"/>
      <c r="D229" s="56"/>
      <c r="E229" s="74"/>
    </row>
    <row r="230" spans="1:6" ht="26.4" hidden="1">
      <c r="A230" s="43"/>
      <c r="B230" s="56">
        <v>20148</v>
      </c>
      <c r="C230" s="92" t="s">
        <v>56</v>
      </c>
      <c r="D230" s="56" t="s">
        <v>12</v>
      </c>
      <c r="E230" s="74"/>
    </row>
    <row r="231" spans="1:6" ht="26.4" hidden="1">
      <c r="A231" s="43"/>
      <c r="B231" s="56">
        <v>20149</v>
      </c>
      <c r="C231" s="92" t="s">
        <v>57</v>
      </c>
      <c r="D231" s="56" t="s">
        <v>12</v>
      </c>
      <c r="E231" s="74"/>
    </row>
    <row r="232" spans="1:6" ht="26.4" hidden="1">
      <c r="A232" s="43"/>
      <c r="B232" s="56">
        <v>20151</v>
      </c>
      <c r="C232" s="92" t="s">
        <v>58</v>
      </c>
      <c r="D232" s="56" t="s">
        <v>12</v>
      </c>
      <c r="E232" s="74"/>
    </row>
    <row r="233" spans="1:6" ht="26.4" hidden="1">
      <c r="A233" s="43"/>
      <c r="B233" s="56">
        <v>20155</v>
      </c>
      <c r="C233" s="92" t="s">
        <v>59</v>
      </c>
      <c r="D233" s="56" t="s">
        <v>12</v>
      </c>
      <c r="E233" s="74"/>
    </row>
    <row r="234" spans="1:6" ht="26.4">
      <c r="A234" s="91" t="s">
        <v>3578</v>
      </c>
      <c r="B234" s="56">
        <v>20157</v>
      </c>
      <c r="C234" s="92" t="s">
        <v>60</v>
      </c>
      <c r="D234" s="56" t="s">
        <v>12</v>
      </c>
      <c r="E234" s="74">
        <f>ROUND(SUM(E235:E241),2)</f>
        <v>252.22</v>
      </c>
    </row>
    <row r="235" spans="1:6" ht="34.200000000000003">
      <c r="A235" s="91"/>
      <c r="B235" s="56"/>
      <c r="C235" s="102" t="s">
        <v>3041</v>
      </c>
      <c r="D235" s="99" t="s">
        <v>3040</v>
      </c>
      <c r="E235" s="101">
        <f>(0.25+0.25+0.25)*70.83</f>
        <v>53.122500000000002</v>
      </c>
    </row>
    <row r="236" spans="1:6" ht="34.200000000000003">
      <c r="A236" s="91"/>
      <c r="B236" s="56"/>
      <c r="C236" s="102" t="s">
        <v>3042</v>
      </c>
      <c r="D236" s="99" t="s">
        <v>3040</v>
      </c>
      <c r="E236" s="101">
        <f>(0.12+0.3+0.3)*25.85</f>
        <v>18.612000000000002</v>
      </c>
    </row>
    <row r="237" spans="1:6" ht="34.200000000000003">
      <c r="A237" s="91"/>
      <c r="B237" s="56"/>
      <c r="C237" s="102" t="s">
        <v>3043</v>
      </c>
      <c r="D237" s="99" t="s">
        <v>3040</v>
      </c>
      <c r="E237" s="101">
        <f>(0.25+0.35+0.35)*90</f>
        <v>85.5</v>
      </c>
    </row>
    <row r="238" spans="1:6" s="47" customFormat="1" ht="34.200000000000003">
      <c r="A238" s="93"/>
      <c r="B238" s="99"/>
      <c r="C238" s="102" t="s">
        <v>3044</v>
      </c>
      <c r="D238" s="99" t="s">
        <v>3040</v>
      </c>
      <c r="E238" s="101">
        <f>(0.25+0.35+0.35)*70.83</f>
        <v>67.288499999999999</v>
      </c>
      <c r="F238" s="163"/>
    </row>
    <row r="239" spans="1:6" s="47" customFormat="1" ht="34.200000000000003">
      <c r="A239" s="93"/>
      <c r="B239" s="99"/>
      <c r="C239" s="102" t="s">
        <v>3893</v>
      </c>
      <c r="D239" s="99" t="s">
        <v>3040</v>
      </c>
      <c r="E239" s="101">
        <f>(0.12+0.3+0.3)*11.35</f>
        <v>8.1719999999999988</v>
      </c>
      <c r="F239" s="163"/>
    </row>
    <row r="240" spans="1:6" s="47" customFormat="1" ht="34.200000000000003">
      <c r="A240" s="93"/>
      <c r="B240" s="99"/>
      <c r="C240" s="102" t="s">
        <v>3045</v>
      </c>
      <c r="D240" s="99" t="s">
        <v>3040</v>
      </c>
      <c r="E240" s="101">
        <f xml:space="preserve"> (26.86 + 26.86 )*0.3</f>
        <v>16.116</v>
      </c>
      <c r="F240" s="163"/>
    </row>
    <row r="241" spans="1:6" s="47" customFormat="1" ht="34.200000000000003">
      <c r="A241" s="93"/>
      <c r="B241" s="99"/>
      <c r="C241" s="102" t="s">
        <v>3046</v>
      </c>
      <c r="D241" s="99" t="s">
        <v>3040</v>
      </c>
      <c r="E241" s="101">
        <f>11.35*0.3</f>
        <v>3.4049999999999998</v>
      </c>
      <c r="F241" s="163"/>
    </row>
    <row r="242" spans="1:6">
      <c r="A242" s="43"/>
      <c r="B242" s="56"/>
      <c r="C242" s="92"/>
      <c r="D242" s="56"/>
      <c r="E242" s="74"/>
    </row>
    <row r="243" spans="1:6" ht="26.4" hidden="1">
      <c r="A243" s="43"/>
      <c r="B243" s="56">
        <v>20160</v>
      </c>
      <c r="C243" s="92" t="s">
        <v>61</v>
      </c>
      <c r="D243" s="56" t="s">
        <v>12</v>
      </c>
      <c r="E243" s="74"/>
    </row>
    <row r="244" spans="1:6" ht="39.6">
      <c r="A244" s="91" t="s">
        <v>3519</v>
      </c>
      <c r="B244" s="56">
        <v>20164</v>
      </c>
      <c r="C244" s="92" t="s">
        <v>62</v>
      </c>
      <c r="D244" s="56" t="s">
        <v>39</v>
      </c>
      <c r="E244" s="74">
        <f>ROUND(SUM(E246:E247),2)</f>
        <v>2</v>
      </c>
    </row>
    <row r="245" spans="1:6" ht="22.8">
      <c r="A245" s="93"/>
      <c r="B245" s="99"/>
      <c r="C245" s="100" t="s">
        <v>2753</v>
      </c>
      <c r="D245" s="99"/>
      <c r="E245" s="101"/>
    </row>
    <row r="246" spans="1:6" ht="22.8">
      <c r="A246" s="93"/>
      <c r="B246" s="99"/>
      <c r="C246" s="102" t="s">
        <v>2754</v>
      </c>
      <c r="D246" s="99" t="s">
        <v>2114</v>
      </c>
      <c r="E246" s="101">
        <v>1</v>
      </c>
    </row>
    <row r="247" spans="1:6" ht="22.8">
      <c r="A247" s="93"/>
      <c r="B247" s="99"/>
      <c r="C247" s="102" t="s">
        <v>3397</v>
      </c>
      <c r="D247" s="99" t="s">
        <v>2114</v>
      </c>
      <c r="E247" s="101">
        <v>1</v>
      </c>
    </row>
    <row r="248" spans="1:6">
      <c r="A248" s="43"/>
      <c r="B248" s="56"/>
      <c r="C248" s="92"/>
      <c r="D248" s="56"/>
      <c r="E248" s="74"/>
    </row>
    <row r="249" spans="1:6" ht="26.4">
      <c r="A249" s="91" t="s">
        <v>3579</v>
      </c>
      <c r="B249" s="125">
        <v>20165</v>
      </c>
      <c r="C249" s="126" t="s">
        <v>63</v>
      </c>
      <c r="D249" s="125" t="s">
        <v>39</v>
      </c>
      <c r="E249" s="106">
        <f>ROUND(SUM(E251:E262),2)</f>
        <v>149.54</v>
      </c>
      <c r="F249" s="166"/>
    </row>
    <row r="250" spans="1:6" ht="45.6">
      <c r="A250" s="93"/>
      <c r="B250" s="127"/>
      <c r="C250" s="128" t="s">
        <v>2623</v>
      </c>
      <c r="D250" s="127"/>
      <c r="E250" s="105"/>
    </row>
    <row r="251" spans="1:6" ht="34.200000000000003">
      <c r="A251" s="93"/>
      <c r="B251" s="127"/>
      <c r="C251" s="121" t="s">
        <v>2527</v>
      </c>
      <c r="D251" s="127" t="s">
        <v>2114</v>
      </c>
      <c r="E251" s="105">
        <f>(8+4.85+6)*2</f>
        <v>37.700000000000003</v>
      </c>
    </row>
    <row r="252" spans="1:6" ht="22.8">
      <c r="A252" s="93"/>
      <c r="B252" s="127"/>
      <c r="C252" s="121" t="s">
        <v>2528</v>
      </c>
      <c r="D252" s="127" t="s">
        <v>2114</v>
      </c>
      <c r="E252" s="105">
        <f>((2.42+0.7)+(0.8)+(4.8))*2</f>
        <v>17.439999999999998</v>
      </c>
    </row>
    <row r="253" spans="1:6" ht="22.8">
      <c r="A253" s="93"/>
      <c r="B253" s="127"/>
      <c r="C253" s="121" t="s">
        <v>2529</v>
      </c>
      <c r="D253" s="127" t="s">
        <v>2114</v>
      </c>
      <c r="E253" s="105">
        <f>((2.42+0.7)+(0.8))*2</f>
        <v>7.84</v>
      </c>
    </row>
    <row r="254" spans="1:6" ht="22.8">
      <c r="A254" s="93"/>
      <c r="B254" s="127"/>
      <c r="C254" s="121" t="s">
        <v>2530</v>
      </c>
      <c r="D254" s="127" t="s">
        <v>2114</v>
      </c>
      <c r="E254" s="105">
        <f>((2.42+0.7)+(0.8))*2</f>
        <v>7.84</v>
      </c>
    </row>
    <row r="255" spans="1:6" ht="22.8">
      <c r="A255" s="93"/>
      <c r="B255" s="127"/>
      <c r="C255" s="121" t="s">
        <v>2531</v>
      </c>
      <c r="D255" s="127" t="s">
        <v>2114</v>
      </c>
      <c r="E255" s="105">
        <f>((2.42+0.7)+(0.8))*2</f>
        <v>7.84</v>
      </c>
    </row>
    <row r="256" spans="1:6" ht="22.8">
      <c r="A256" s="93"/>
      <c r="B256" s="127"/>
      <c r="C256" s="121" t="s">
        <v>2532</v>
      </c>
      <c r="D256" s="127" t="s">
        <v>2114</v>
      </c>
      <c r="E256" s="105">
        <f>((2.42+0.7)+(0.8))*2</f>
        <v>7.84</v>
      </c>
    </row>
    <row r="257" spans="1:6" ht="22.8">
      <c r="A257" s="93"/>
      <c r="B257" s="127"/>
      <c r="C257" s="121" t="s">
        <v>2533</v>
      </c>
      <c r="D257" s="127" t="s">
        <v>2114</v>
      </c>
      <c r="E257" s="105">
        <f>((2.42+0.7)+(0.8))*2</f>
        <v>7.84</v>
      </c>
    </row>
    <row r="258" spans="1:6" ht="22.8">
      <c r="A258" s="93"/>
      <c r="B258" s="127"/>
      <c r="C258" s="121" t="s">
        <v>2554</v>
      </c>
      <c r="D258" s="127" t="s">
        <v>2114</v>
      </c>
      <c r="E258" s="105">
        <f>((2.42+0.7))*2</f>
        <v>6.24</v>
      </c>
    </row>
    <row r="259" spans="1:6" ht="22.8">
      <c r="A259" s="93"/>
      <c r="B259" s="127"/>
      <c r="C259" s="121" t="s">
        <v>2542</v>
      </c>
      <c r="D259" s="127" t="s">
        <v>2114</v>
      </c>
      <c r="E259" s="105">
        <f>((2.42+0.7)+(6*2))*2</f>
        <v>30.240000000000002</v>
      </c>
    </row>
    <row r="260" spans="1:6" ht="22.8">
      <c r="A260" s="93"/>
      <c r="B260" s="127"/>
      <c r="C260" s="121" t="s">
        <v>2541</v>
      </c>
      <c r="D260" s="127" t="s">
        <v>2114</v>
      </c>
      <c r="E260" s="105">
        <f>((2.42+0.7))*2</f>
        <v>6.24</v>
      </c>
    </row>
    <row r="261" spans="1:6" ht="22.8">
      <c r="A261" s="93"/>
      <c r="B261" s="127"/>
      <c r="C261" s="121" t="s">
        <v>2540</v>
      </c>
      <c r="D261" s="127" t="s">
        <v>2114</v>
      </c>
      <c r="E261" s="105">
        <f>((2.42+0.7))*2</f>
        <v>6.24</v>
      </c>
    </row>
    <row r="262" spans="1:6" ht="22.8">
      <c r="A262" s="93"/>
      <c r="B262" s="127"/>
      <c r="C262" s="121" t="s">
        <v>2539</v>
      </c>
      <c r="D262" s="127" t="s">
        <v>2114</v>
      </c>
      <c r="E262" s="105">
        <f>((2.42+0.7))*2</f>
        <v>6.24</v>
      </c>
    </row>
    <row r="263" spans="1:6">
      <c r="A263" s="43"/>
      <c r="B263" s="56"/>
      <c r="C263" s="92"/>
      <c r="D263" s="56"/>
      <c r="E263" s="74"/>
    </row>
    <row r="264" spans="1:6" ht="39.6">
      <c r="A264" s="91" t="s">
        <v>3580</v>
      </c>
      <c r="B264" s="125">
        <v>20166</v>
      </c>
      <c r="C264" s="126" t="s">
        <v>64</v>
      </c>
      <c r="D264" s="125" t="s">
        <v>39</v>
      </c>
      <c r="E264" s="106">
        <f>ROUND(SUM(E266:E278),2)</f>
        <v>104.19</v>
      </c>
      <c r="F264" s="166"/>
    </row>
    <row r="265" spans="1:6" ht="48">
      <c r="A265" s="93"/>
      <c r="B265" s="127"/>
      <c r="C265" s="129" t="s">
        <v>2623</v>
      </c>
      <c r="D265" s="127"/>
      <c r="E265" s="105"/>
    </row>
    <row r="266" spans="1:6" ht="22.8">
      <c r="A266" s="93"/>
      <c r="B266" s="127"/>
      <c r="C266" s="121" t="s">
        <v>3716</v>
      </c>
      <c r="D266" s="127" t="s">
        <v>2114</v>
      </c>
      <c r="E266" s="105">
        <f>(8+4.85+6)</f>
        <v>18.850000000000001</v>
      </c>
    </row>
    <row r="267" spans="1:6" ht="22.8">
      <c r="A267" s="93"/>
      <c r="B267" s="127"/>
      <c r="C267" s="121" t="s">
        <v>2538</v>
      </c>
      <c r="D267" s="127" t="s">
        <v>2114</v>
      </c>
      <c r="E267" s="105">
        <f>(1.15+4.85+0.76)*2</f>
        <v>13.52</v>
      </c>
    </row>
    <row r="268" spans="1:6" ht="22.8">
      <c r="A268" s="93"/>
      <c r="B268" s="127"/>
      <c r="C268" s="121" t="s">
        <v>3398</v>
      </c>
      <c r="D268" s="127" t="s">
        <v>2114</v>
      </c>
      <c r="E268" s="105">
        <f>((2.42+0.7)+(0.8)+(4.8))*2</f>
        <v>17.439999999999998</v>
      </c>
    </row>
    <row r="269" spans="1:6" ht="22.8">
      <c r="A269" s="93"/>
      <c r="B269" s="127"/>
      <c r="C269" s="121" t="s">
        <v>3401</v>
      </c>
      <c r="D269" s="127" t="s">
        <v>2114</v>
      </c>
      <c r="E269" s="105">
        <f>((2.42+0.7)+(0.8))</f>
        <v>3.92</v>
      </c>
    </row>
    <row r="270" spans="1:6" ht="22.8">
      <c r="A270" s="93"/>
      <c r="B270" s="127"/>
      <c r="C270" s="121" t="s">
        <v>3400</v>
      </c>
      <c r="D270" s="127" t="s">
        <v>2114</v>
      </c>
      <c r="E270" s="105">
        <f>((2.42+0.7)+(0.8))</f>
        <v>3.92</v>
      </c>
    </row>
    <row r="271" spans="1:6" ht="22.8">
      <c r="A271" s="93"/>
      <c r="B271" s="127"/>
      <c r="C271" s="121" t="s">
        <v>3399</v>
      </c>
      <c r="D271" s="127" t="s">
        <v>2114</v>
      </c>
      <c r="E271" s="105">
        <f>((2.42+0.7)+(0.8))</f>
        <v>3.92</v>
      </c>
    </row>
    <row r="272" spans="1:6" ht="22.8">
      <c r="A272" s="93"/>
      <c r="B272" s="127"/>
      <c r="C272" s="121" t="s">
        <v>3402</v>
      </c>
      <c r="D272" s="127" t="s">
        <v>2114</v>
      </c>
      <c r="E272" s="105">
        <f>((2.42+0.7)+(0.8))</f>
        <v>3.92</v>
      </c>
    </row>
    <row r="273" spans="1:6" ht="22.8">
      <c r="A273" s="93"/>
      <c r="B273" s="127"/>
      <c r="C273" s="121" t="s">
        <v>3403</v>
      </c>
      <c r="D273" s="127" t="s">
        <v>2114</v>
      </c>
      <c r="E273" s="105">
        <f>((2.42+0.7)+(0.8))</f>
        <v>3.92</v>
      </c>
    </row>
    <row r="274" spans="1:6" ht="22.8">
      <c r="A274" s="93"/>
      <c r="B274" s="127"/>
      <c r="C274" s="121" t="s">
        <v>3408</v>
      </c>
      <c r="D274" s="127" t="s">
        <v>2114</v>
      </c>
      <c r="E274" s="105">
        <f>8.7</f>
        <v>8.6999999999999993</v>
      </c>
    </row>
    <row r="275" spans="1:6" ht="22.8">
      <c r="A275" s="93"/>
      <c r="B275" s="127"/>
      <c r="C275" s="121" t="s">
        <v>3407</v>
      </c>
      <c r="D275" s="127" t="s">
        <v>2114</v>
      </c>
      <c r="E275" s="105">
        <f>(2.42+0.7)+(6*2)</f>
        <v>15.120000000000001</v>
      </c>
    </row>
    <row r="276" spans="1:6" ht="22.8">
      <c r="A276" s="93"/>
      <c r="B276" s="127"/>
      <c r="C276" s="121" t="s">
        <v>3406</v>
      </c>
      <c r="D276" s="127" t="s">
        <v>2114</v>
      </c>
      <c r="E276" s="105">
        <f>((2.42+0.7)+(0.8))</f>
        <v>3.92</v>
      </c>
    </row>
    <row r="277" spans="1:6" ht="22.8">
      <c r="A277" s="93"/>
      <c r="B277" s="127"/>
      <c r="C277" s="121" t="s">
        <v>3405</v>
      </c>
      <c r="D277" s="127" t="s">
        <v>2114</v>
      </c>
      <c r="E277" s="105">
        <f>((2.42+0.7)+(0.8))</f>
        <v>3.92</v>
      </c>
    </row>
    <row r="278" spans="1:6" ht="22.8">
      <c r="A278" s="93"/>
      <c r="B278" s="127"/>
      <c r="C278" s="121" t="s">
        <v>3404</v>
      </c>
      <c r="D278" s="127" t="s">
        <v>2114</v>
      </c>
      <c r="E278" s="105">
        <f>((2.42+0.7))</f>
        <v>3.12</v>
      </c>
    </row>
    <row r="279" spans="1:6">
      <c r="A279" s="43"/>
      <c r="B279" s="56"/>
      <c r="C279" s="92"/>
      <c r="D279" s="56"/>
      <c r="E279" s="74"/>
    </row>
    <row r="280" spans="1:6" ht="26.4">
      <c r="A280" s="91" t="s">
        <v>3581</v>
      </c>
      <c r="B280" s="56">
        <v>20167</v>
      </c>
      <c r="C280" s="92" t="s">
        <v>65</v>
      </c>
      <c r="D280" s="56" t="s">
        <v>2930</v>
      </c>
      <c r="E280" s="74">
        <f>ROUND(SUM(E282:E289),2)</f>
        <v>237</v>
      </c>
      <c r="F280" s="166"/>
    </row>
    <row r="281" spans="1:6" ht="48">
      <c r="A281" s="93"/>
      <c r="B281" s="99"/>
      <c r="C281" s="156" t="s">
        <v>2623</v>
      </c>
      <c r="D281" s="99"/>
      <c r="E281" s="101"/>
    </row>
    <row r="282" spans="1:6">
      <c r="A282" s="93"/>
      <c r="B282" s="99"/>
      <c r="C282" s="102" t="s">
        <v>2535</v>
      </c>
      <c r="D282" s="99" t="s">
        <v>2488</v>
      </c>
      <c r="E282" s="101">
        <f>(5*3)*12</f>
        <v>180</v>
      </c>
    </row>
    <row r="283" spans="1:6">
      <c r="A283" s="93"/>
      <c r="B283" s="99"/>
      <c r="C283" s="102" t="s">
        <v>2510</v>
      </c>
      <c r="D283" s="99" t="s">
        <v>2488</v>
      </c>
      <c r="E283" s="101">
        <f>(6*2)+(7*2)</f>
        <v>26</v>
      </c>
    </row>
    <row r="284" spans="1:6">
      <c r="A284" s="93"/>
      <c r="B284" s="99"/>
      <c r="C284" s="102" t="s">
        <v>2536</v>
      </c>
      <c r="D284" s="99" t="s">
        <v>2488</v>
      </c>
      <c r="E284" s="101">
        <f>3+2+2+1</f>
        <v>8</v>
      </c>
    </row>
    <row r="285" spans="1:6">
      <c r="A285" s="93"/>
      <c r="B285" s="99"/>
      <c r="C285" s="102" t="s">
        <v>2537</v>
      </c>
      <c r="D285" s="99" t="s">
        <v>2488</v>
      </c>
      <c r="E285" s="101">
        <f>1+7+7</f>
        <v>15</v>
      </c>
    </row>
    <row r="286" spans="1:6">
      <c r="A286" s="93"/>
      <c r="B286" s="99"/>
      <c r="C286" s="102" t="s">
        <v>3378</v>
      </c>
      <c r="D286" s="99" t="s">
        <v>2488</v>
      </c>
      <c r="E286" s="101">
        <v>2</v>
      </c>
    </row>
    <row r="287" spans="1:6">
      <c r="A287" s="93"/>
      <c r="B287" s="99"/>
      <c r="C287" s="102" t="s">
        <v>3379</v>
      </c>
      <c r="D287" s="99" t="s">
        <v>2488</v>
      </c>
      <c r="E287" s="101">
        <v>2</v>
      </c>
    </row>
    <row r="288" spans="1:6">
      <c r="A288" s="93"/>
      <c r="B288" s="99"/>
      <c r="C288" s="102" t="s">
        <v>3380</v>
      </c>
      <c r="D288" s="99" t="s">
        <v>2488</v>
      </c>
      <c r="E288" s="101">
        <v>2</v>
      </c>
    </row>
    <row r="289" spans="1:6">
      <c r="A289" s="93"/>
      <c r="B289" s="99"/>
      <c r="C289" s="102" t="s">
        <v>3381</v>
      </c>
      <c r="D289" s="99" t="s">
        <v>2488</v>
      </c>
      <c r="E289" s="101">
        <v>2</v>
      </c>
    </row>
    <row r="290" spans="1:6">
      <c r="A290" s="43"/>
      <c r="B290" s="56"/>
      <c r="C290" s="92"/>
      <c r="D290" s="56"/>
      <c r="E290" s="74"/>
    </row>
    <row r="291" spans="1:6" ht="26.4">
      <c r="A291" s="91" t="s">
        <v>3582</v>
      </c>
      <c r="B291" s="125">
        <v>20168</v>
      </c>
      <c r="C291" s="126" t="s">
        <v>66</v>
      </c>
      <c r="D291" s="125" t="s">
        <v>2930</v>
      </c>
      <c r="E291" s="106">
        <f>ROUND(SUM(E294:E316),2)</f>
        <v>71</v>
      </c>
      <c r="F291" s="166"/>
    </row>
    <row r="292" spans="1:6" s="47" customFormat="1" ht="48">
      <c r="A292" s="93"/>
      <c r="B292" s="127"/>
      <c r="C292" s="129" t="s">
        <v>2623</v>
      </c>
      <c r="D292" s="127"/>
      <c r="E292" s="105"/>
      <c r="F292" s="163"/>
    </row>
    <row r="293" spans="1:6" s="47" customFormat="1" ht="12">
      <c r="A293" s="93"/>
      <c r="B293" s="127"/>
      <c r="C293" s="123" t="s">
        <v>2555</v>
      </c>
      <c r="D293" s="127"/>
      <c r="E293" s="105"/>
      <c r="F293" s="163"/>
    </row>
    <row r="294" spans="1:6" s="47" customFormat="1" ht="12">
      <c r="A294" s="93"/>
      <c r="B294" s="127"/>
      <c r="C294" s="121" t="s">
        <v>2506</v>
      </c>
      <c r="D294" s="127" t="s">
        <v>2930</v>
      </c>
      <c r="E294" s="105">
        <v>7</v>
      </c>
      <c r="F294" s="163"/>
    </row>
    <row r="295" spans="1:6" s="47" customFormat="1" ht="12">
      <c r="A295" s="93"/>
      <c r="B295" s="127"/>
      <c r="C295" s="121" t="s">
        <v>2508</v>
      </c>
      <c r="D295" s="127" t="s">
        <v>2930</v>
      </c>
      <c r="E295" s="105">
        <v>2</v>
      </c>
      <c r="F295" s="163"/>
    </row>
    <row r="296" spans="1:6" s="47" customFormat="1" ht="12">
      <c r="A296" s="93"/>
      <c r="B296" s="127"/>
      <c r="C296" s="121" t="s">
        <v>2509</v>
      </c>
      <c r="D296" s="127" t="s">
        <v>2930</v>
      </c>
      <c r="E296" s="105">
        <v>1</v>
      </c>
      <c r="F296" s="163"/>
    </row>
    <row r="297" spans="1:6" s="47" customFormat="1" ht="12">
      <c r="A297" s="93"/>
      <c r="B297" s="127"/>
      <c r="C297" s="121" t="s">
        <v>2511</v>
      </c>
      <c r="D297" s="127" t="s">
        <v>2930</v>
      </c>
      <c r="E297" s="105">
        <v>3</v>
      </c>
      <c r="F297" s="163"/>
    </row>
    <row r="298" spans="1:6" s="47" customFormat="1" ht="12">
      <c r="A298" s="93"/>
      <c r="B298" s="127"/>
      <c r="C298" s="121" t="s">
        <v>2512</v>
      </c>
      <c r="D298" s="127" t="s">
        <v>2930</v>
      </c>
      <c r="E298" s="105">
        <v>3</v>
      </c>
      <c r="F298" s="163"/>
    </row>
    <row r="299" spans="1:6" s="47" customFormat="1" ht="12">
      <c r="A299" s="93"/>
      <c r="B299" s="127"/>
      <c r="C299" s="121" t="s">
        <v>2513</v>
      </c>
      <c r="D299" s="127" t="s">
        <v>2930</v>
      </c>
      <c r="E299" s="105">
        <v>3</v>
      </c>
      <c r="F299" s="163"/>
    </row>
    <row r="300" spans="1:6" s="47" customFormat="1" ht="12">
      <c r="A300" s="93"/>
      <c r="B300" s="127"/>
      <c r="C300" s="121" t="s">
        <v>2514</v>
      </c>
      <c r="D300" s="127" t="s">
        <v>2930</v>
      </c>
      <c r="E300" s="105">
        <v>3</v>
      </c>
      <c r="F300" s="163"/>
    </row>
    <row r="301" spans="1:6" s="47" customFormat="1" ht="12">
      <c r="A301" s="93"/>
      <c r="B301" s="127"/>
      <c r="C301" s="121" t="s">
        <v>2515</v>
      </c>
      <c r="D301" s="127" t="s">
        <v>2930</v>
      </c>
      <c r="E301" s="105">
        <v>3</v>
      </c>
      <c r="F301" s="163"/>
    </row>
    <row r="302" spans="1:6" s="47" customFormat="1" ht="12">
      <c r="A302" s="93"/>
      <c r="B302" s="127"/>
      <c r="C302" s="121" t="s">
        <v>2516</v>
      </c>
      <c r="D302" s="127" t="s">
        <v>2930</v>
      </c>
      <c r="E302" s="105">
        <v>3</v>
      </c>
      <c r="F302" s="163"/>
    </row>
    <row r="303" spans="1:6" s="47" customFormat="1" ht="12">
      <c r="A303" s="93"/>
      <c r="B303" s="127"/>
      <c r="C303" s="121" t="s">
        <v>2517</v>
      </c>
      <c r="D303" s="127" t="s">
        <v>2930</v>
      </c>
      <c r="E303" s="105">
        <v>2</v>
      </c>
      <c r="F303" s="163"/>
    </row>
    <row r="304" spans="1:6" s="47" customFormat="1" ht="12">
      <c r="A304" s="93"/>
      <c r="B304" s="127"/>
      <c r="C304" s="121" t="s">
        <v>2518</v>
      </c>
      <c r="D304" s="127" t="s">
        <v>2930</v>
      </c>
      <c r="E304" s="105">
        <f>2+10</f>
        <v>12</v>
      </c>
      <c r="F304" s="163"/>
    </row>
    <row r="305" spans="1:6" s="47" customFormat="1" ht="12">
      <c r="A305" s="93"/>
      <c r="B305" s="127"/>
      <c r="C305" s="121" t="s">
        <v>2519</v>
      </c>
      <c r="D305" s="127" t="s">
        <v>2930</v>
      </c>
      <c r="E305" s="105">
        <v>1</v>
      </c>
      <c r="F305" s="163"/>
    </row>
    <row r="306" spans="1:6" s="47" customFormat="1" ht="12">
      <c r="A306" s="93"/>
      <c r="B306" s="127"/>
      <c r="C306" s="121" t="s">
        <v>2520</v>
      </c>
      <c r="D306" s="127" t="s">
        <v>2930</v>
      </c>
      <c r="E306" s="105">
        <v>1</v>
      </c>
      <c r="F306" s="163"/>
    </row>
    <row r="307" spans="1:6" s="47" customFormat="1" ht="12">
      <c r="A307" s="93"/>
      <c r="B307" s="127"/>
      <c r="C307" s="121" t="s">
        <v>2521</v>
      </c>
      <c r="D307" s="127" t="s">
        <v>2930</v>
      </c>
      <c r="E307" s="105">
        <v>1</v>
      </c>
      <c r="F307" s="163"/>
    </row>
    <row r="308" spans="1:6" s="47" customFormat="1" ht="12">
      <c r="A308" s="93"/>
      <c r="B308" s="127"/>
      <c r="C308" s="121" t="s">
        <v>2522</v>
      </c>
      <c r="D308" s="127"/>
      <c r="E308" s="105"/>
      <c r="F308" s="163"/>
    </row>
    <row r="309" spans="1:6" s="47" customFormat="1" ht="12">
      <c r="A309" s="93"/>
      <c r="B309" s="127"/>
      <c r="C309" s="121"/>
      <c r="D309" s="127"/>
      <c r="E309" s="105"/>
      <c r="F309" s="163"/>
    </row>
    <row r="310" spans="1:6" s="47" customFormat="1" ht="12">
      <c r="A310" s="93"/>
      <c r="B310" s="127"/>
      <c r="C310" s="123" t="s">
        <v>2543</v>
      </c>
      <c r="D310" s="127"/>
      <c r="E310" s="105"/>
      <c r="F310" s="163"/>
    </row>
    <row r="311" spans="1:6" s="47" customFormat="1" ht="12">
      <c r="A311" s="93"/>
      <c r="B311" s="127"/>
      <c r="C311" s="121" t="s">
        <v>2512</v>
      </c>
      <c r="D311" s="127" t="s">
        <v>2930</v>
      </c>
      <c r="E311" s="105">
        <v>4</v>
      </c>
      <c r="F311" s="163"/>
    </row>
    <row r="312" spans="1:6" s="47" customFormat="1" ht="12">
      <c r="A312" s="93"/>
      <c r="B312" s="127"/>
      <c r="C312" s="121" t="s">
        <v>2513</v>
      </c>
      <c r="D312" s="127" t="s">
        <v>2930</v>
      </c>
      <c r="E312" s="105">
        <v>4</v>
      </c>
      <c r="F312" s="163"/>
    </row>
    <row r="313" spans="1:6" s="47" customFormat="1" ht="12">
      <c r="A313" s="93"/>
      <c r="B313" s="127"/>
      <c r="C313" s="121" t="s">
        <v>2514</v>
      </c>
      <c r="D313" s="127" t="s">
        <v>2930</v>
      </c>
      <c r="E313" s="105">
        <v>4</v>
      </c>
      <c r="F313" s="163"/>
    </row>
    <row r="314" spans="1:6" s="47" customFormat="1" ht="12">
      <c r="A314" s="93"/>
      <c r="B314" s="127"/>
      <c r="C314" s="121" t="s">
        <v>2515</v>
      </c>
      <c r="D314" s="127" t="s">
        <v>2930</v>
      </c>
      <c r="E314" s="105">
        <v>4</v>
      </c>
      <c r="F314" s="163"/>
    </row>
    <row r="315" spans="1:6" s="47" customFormat="1" ht="12">
      <c r="A315" s="93"/>
      <c r="B315" s="127"/>
      <c r="C315" s="121" t="s">
        <v>2516</v>
      </c>
      <c r="D315" s="127" t="s">
        <v>2930</v>
      </c>
      <c r="E315" s="105">
        <v>4</v>
      </c>
      <c r="F315" s="163"/>
    </row>
    <row r="316" spans="1:6" s="47" customFormat="1" ht="22.8">
      <c r="A316" s="93"/>
      <c r="B316" s="127"/>
      <c r="C316" s="121" t="s">
        <v>2619</v>
      </c>
      <c r="D316" s="143" t="s">
        <v>2488</v>
      </c>
      <c r="E316" s="105">
        <v>6</v>
      </c>
      <c r="F316" s="163"/>
    </row>
    <row r="317" spans="1:6">
      <c r="A317" s="43"/>
      <c r="B317" s="56"/>
      <c r="C317" s="92"/>
      <c r="D317" s="56"/>
      <c r="E317" s="74"/>
    </row>
    <row r="318" spans="1:6" hidden="1">
      <c r="A318" s="43"/>
      <c r="B318" s="56">
        <v>20190</v>
      </c>
      <c r="C318" s="92" t="s">
        <v>67</v>
      </c>
      <c r="D318" s="56" t="s">
        <v>12</v>
      </c>
      <c r="E318" s="74"/>
    </row>
    <row r="319" spans="1:6" ht="39.6">
      <c r="A319" s="91" t="s">
        <v>3583</v>
      </c>
      <c r="B319" s="56">
        <v>20200</v>
      </c>
      <c r="C319" s="92" t="s">
        <v>68</v>
      </c>
      <c r="D319" s="56" t="s">
        <v>12</v>
      </c>
      <c r="E319" s="74">
        <f>ROUND(E320,2)</f>
        <v>226.8</v>
      </c>
    </row>
    <row r="320" spans="1:6" s="47" customFormat="1" ht="12">
      <c r="A320" s="93"/>
      <c r="B320" s="99"/>
      <c r="C320" s="102" t="s">
        <v>4134</v>
      </c>
      <c r="D320" s="99" t="s">
        <v>12</v>
      </c>
      <c r="E320" s="101">
        <f>1890*0.12</f>
        <v>226.79999999999998</v>
      </c>
      <c r="F320" s="167"/>
    </row>
    <row r="321" spans="1:5">
      <c r="A321" s="43"/>
      <c r="B321" s="56"/>
      <c r="C321" s="92"/>
      <c r="D321" s="56"/>
      <c r="E321" s="74"/>
    </row>
    <row r="322" spans="1:5" hidden="1">
      <c r="A322" s="43"/>
      <c r="B322" s="56">
        <v>20201</v>
      </c>
      <c r="C322" s="92" t="s">
        <v>69</v>
      </c>
      <c r="D322" s="56" t="s">
        <v>12</v>
      </c>
      <c r="E322" s="74"/>
    </row>
    <row r="323" spans="1:5">
      <c r="A323" s="91" t="s">
        <v>3584</v>
      </c>
      <c r="B323" s="56">
        <v>20202</v>
      </c>
      <c r="C323" s="92" t="s">
        <v>70</v>
      </c>
      <c r="D323" s="56" t="s">
        <v>12</v>
      </c>
      <c r="E323" s="74">
        <f>ROUND((E324+E325),2)</f>
        <v>129.9</v>
      </c>
    </row>
    <row r="324" spans="1:5" ht="22.8">
      <c r="A324" s="43"/>
      <c r="B324" s="56"/>
      <c r="C324" s="102" t="s">
        <v>3195</v>
      </c>
      <c r="D324" s="99" t="s">
        <v>3040</v>
      </c>
      <c r="E324" s="101">
        <f>2.4*4.25</f>
        <v>10.199999999999999</v>
      </c>
    </row>
    <row r="325" spans="1:5" ht="22.8">
      <c r="A325" s="43"/>
      <c r="B325" s="56"/>
      <c r="C325" s="102" t="s">
        <v>3275</v>
      </c>
      <c r="D325" s="99" t="s">
        <v>3040</v>
      </c>
      <c r="E325" s="101">
        <f>42+54+23.7</f>
        <v>119.7</v>
      </c>
    </row>
    <row r="326" spans="1:5">
      <c r="A326" s="43"/>
      <c r="B326" s="56"/>
      <c r="C326" s="92"/>
      <c r="D326" s="56"/>
      <c r="E326" s="74"/>
    </row>
    <row r="327" spans="1:5" hidden="1">
      <c r="A327" s="43"/>
      <c r="B327" s="56">
        <v>20203</v>
      </c>
      <c r="C327" s="92" t="s">
        <v>71</v>
      </c>
      <c r="D327" s="56" t="s">
        <v>12</v>
      </c>
      <c r="E327" s="74"/>
    </row>
    <row r="328" spans="1:5" ht="66" hidden="1">
      <c r="A328" s="43"/>
      <c r="B328" s="56">
        <v>20210</v>
      </c>
      <c r="C328" s="92" t="s">
        <v>72</v>
      </c>
      <c r="D328" s="56" t="s">
        <v>12</v>
      </c>
      <c r="E328" s="74"/>
    </row>
    <row r="329" spans="1:5" ht="79.2" hidden="1">
      <c r="A329" s="43"/>
      <c r="B329" s="56">
        <v>20212</v>
      </c>
      <c r="C329" s="92" t="s">
        <v>73</v>
      </c>
      <c r="D329" s="56" t="s">
        <v>12</v>
      </c>
      <c r="E329" s="74"/>
    </row>
    <row r="330" spans="1:5" ht="39.6" hidden="1">
      <c r="A330" s="43"/>
      <c r="B330" s="56">
        <v>20302</v>
      </c>
      <c r="C330" s="92" t="s">
        <v>74</v>
      </c>
      <c r="D330" s="56" t="s">
        <v>2930</v>
      </c>
      <c r="E330" s="74"/>
    </row>
    <row r="331" spans="1:5" ht="39.6" hidden="1">
      <c r="A331" s="43"/>
      <c r="B331" s="56">
        <v>20303</v>
      </c>
      <c r="C331" s="92" t="s">
        <v>75</v>
      </c>
      <c r="D331" s="56" t="s">
        <v>2930</v>
      </c>
      <c r="E331" s="74"/>
    </row>
    <row r="332" spans="1:5" ht="26.4" hidden="1">
      <c r="A332" s="43"/>
      <c r="B332" s="56">
        <v>20400</v>
      </c>
      <c r="C332" s="92" t="s">
        <v>76</v>
      </c>
      <c r="D332" s="56" t="s">
        <v>2930</v>
      </c>
      <c r="E332" s="74">
        <f>E333</f>
        <v>0</v>
      </c>
    </row>
    <row r="333" spans="1:5" hidden="1">
      <c r="A333" s="43"/>
      <c r="B333" s="56">
        <v>20501</v>
      </c>
      <c r="C333" s="92" t="s">
        <v>77</v>
      </c>
      <c r="D333" s="56" t="s">
        <v>2930</v>
      </c>
      <c r="E333" s="74"/>
    </row>
    <row r="334" spans="1:5" ht="26.4" hidden="1">
      <c r="A334" s="43"/>
      <c r="B334" s="56">
        <v>20600</v>
      </c>
      <c r="C334" s="92" t="s">
        <v>78</v>
      </c>
      <c r="D334" s="56" t="s">
        <v>12</v>
      </c>
      <c r="E334" s="74"/>
    </row>
    <row r="335" spans="1:5" ht="39.6" hidden="1">
      <c r="A335" s="43"/>
      <c r="B335" s="56">
        <v>20701</v>
      </c>
      <c r="C335" s="92" t="s">
        <v>79</v>
      </c>
      <c r="D335" s="56" t="s">
        <v>12</v>
      </c>
      <c r="E335" s="74"/>
    </row>
    <row r="336" spans="1:5" ht="39.6" hidden="1">
      <c r="A336" s="43"/>
      <c r="B336" s="56">
        <v>20702</v>
      </c>
      <c r="C336" s="92" t="s">
        <v>80</v>
      </c>
      <c r="D336" s="56" t="s">
        <v>12</v>
      </c>
      <c r="E336" s="74"/>
    </row>
    <row r="337" spans="1:6" ht="26.4" hidden="1">
      <c r="A337" s="43"/>
      <c r="B337" s="56">
        <v>20703</v>
      </c>
      <c r="C337" s="92" t="s">
        <v>81</v>
      </c>
      <c r="D337" s="56" t="s">
        <v>12</v>
      </c>
      <c r="E337" s="74"/>
    </row>
    <row r="338" spans="1:6" hidden="1">
      <c r="A338" s="43"/>
      <c r="B338" s="56">
        <v>20801</v>
      </c>
      <c r="C338" s="92" t="s">
        <v>82</v>
      </c>
      <c r="D338" s="56" t="s">
        <v>39</v>
      </c>
      <c r="E338" s="74"/>
    </row>
    <row r="339" spans="1:6" hidden="1">
      <c r="A339" s="43"/>
      <c r="B339" s="56">
        <v>20807</v>
      </c>
      <c r="C339" s="92" t="s">
        <v>83</v>
      </c>
      <c r="D339" s="56" t="s">
        <v>39</v>
      </c>
      <c r="E339" s="74"/>
    </row>
    <row r="340" spans="1:6" hidden="1">
      <c r="A340" s="43"/>
      <c r="B340" s="56">
        <v>20808</v>
      </c>
      <c r="C340" s="92" t="s">
        <v>84</v>
      </c>
      <c r="D340" s="56" t="s">
        <v>2930</v>
      </c>
      <c r="E340" s="74"/>
    </row>
    <row r="341" spans="1:6" ht="26.4" hidden="1">
      <c r="A341" s="43"/>
      <c r="B341" s="56">
        <v>21001</v>
      </c>
      <c r="C341" s="92" t="s">
        <v>85</v>
      </c>
      <c r="D341" s="56" t="s">
        <v>39</v>
      </c>
      <c r="E341" s="74"/>
    </row>
    <row r="342" spans="1:6" ht="26.4" hidden="1">
      <c r="A342" s="43"/>
      <c r="B342" s="56">
        <v>21002</v>
      </c>
      <c r="C342" s="92" t="s">
        <v>86</v>
      </c>
      <c r="D342" s="56" t="s">
        <v>39</v>
      </c>
      <c r="E342" s="74"/>
    </row>
    <row r="343" spans="1:6" ht="26.4" hidden="1">
      <c r="A343" s="43"/>
      <c r="B343" s="56">
        <v>21003</v>
      </c>
      <c r="C343" s="92" t="s">
        <v>87</v>
      </c>
      <c r="D343" s="56" t="s">
        <v>39</v>
      </c>
      <c r="E343" s="74"/>
    </row>
    <row r="344" spans="1:6" ht="39.6">
      <c r="A344" s="91" t="s">
        <v>3585</v>
      </c>
      <c r="B344" s="56">
        <v>21301</v>
      </c>
      <c r="C344" s="92" t="s">
        <v>88</v>
      </c>
      <c r="D344" s="56" t="s">
        <v>12</v>
      </c>
      <c r="E344" s="74">
        <f>ROUND(E345,2)</f>
        <v>3</v>
      </c>
    </row>
    <row r="345" spans="1:6" s="47" customFormat="1" ht="12">
      <c r="A345" s="93"/>
      <c r="B345" s="99"/>
      <c r="C345" s="130" t="s">
        <v>3894</v>
      </c>
      <c r="D345" s="99" t="s">
        <v>12</v>
      </c>
      <c r="E345" s="101">
        <f>2*1.5</f>
        <v>3</v>
      </c>
      <c r="F345" s="163"/>
    </row>
    <row r="346" spans="1:6">
      <c r="A346" s="43"/>
      <c r="B346" s="56"/>
      <c r="C346" s="92"/>
      <c r="D346" s="56"/>
      <c r="E346" s="74"/>
    </row>
    <row r="347" spans="1:6" hidden="1">
      <c r="A347" s="43"/>
      <c r="B347" s="56">
        <v>21399</v>
      </c>
      <c r="C347" s="92" t="s">
        <v>89</v>
      </c>
      <c r="D347" s="56" t="s">
        <v>30</v>
      </c>
      <c r="E347" s="74"/>
    </row>
    <row r="348" spans="1:6" hidden="1">
      <c r="A348" s="43"/>
      <c r="B348" s="56">
        <v>21400</v>
      </c>
      <c r="C348" s="92" t="s">
        <v>90</v>
      </c>
      <c r="D348" s="56" t="s">
        <v>30</v>
      </c>
      <c r="E348" s="74"/>
    </row>
    <row r="349" spans="1:6" hidden="1">
      <c r="A349" s="43"/>
      <c r="B349" s="56">
        <v>21401</v>
      </c>
      <c r="C349" s="92" t="s">
        <v>91</v>
      </c>
      <c r="D349" s="56" t="s">
        <v>92</v>
      </c>
      <c r="E349" s="74"/>
    </row>
    <row r="350" spans="1:6" ht="26.4">
      <c r="A350" s="91" t="s">
        <v>3586</v>
      </c>
      <c r="B350" s="56">
        <v>21602</v>
      </c>
      <c r="C350" s="92" t="s">
        <v>93</v>
      </c>
      <c r="D350" s="56" t="s">
        <v>12</v>
      </c>
      <c r="E350" s="74">
        <f>ROUND(E351,2)</f>
        <v>56.7</v>
      </c>
    </row>
    <row r="351" spans="1:6" s="47" customFormat="1" ht="12">
      <c r="A351" s="131"/>
      <c r="B351" s="99"/>
      <c r="C351" s="109" t="s">
        <v>4133</v>
      </c>
      <c r="D351" s="108" t="s">
        <v>12</v>
      </c>
      <c r="E351" s="120">
        <f>1890*0.03</f>
        <v>56.699999999999996</v>
      </c>
      <c r="F351" s="167"/>
    </row>
    <row r="352" spans="1:6">
      <c r="A352" s="132"/>
      <c r="B352" s="56"/>
      <c r="C352" s="114"/>
      <c r="D352" s="115"/>
      <c r="E352" s="133"/>
    </row>
    <row r="353" spans="1:6" ht="26.4">
      <c r="A353" s="134" t="s">
        <v>3587</v>
      </c>
      <c r="B353" s="97" t="s">
        <v>2815</v>
      </c>
      <c r="C353" s="111" t="s">
        <v>2817</v>
      </c>
      <c r="D353" s="110" t="s">
        <v>2616</v>
      </c>
      <c r="E353" s="74">
        <f>ROUND(SUM(E355:E367),2)</f>
        <v>106.08</v>
      </c>
      <c r="F353" s="250"/>
    </row>
    <row r="354" spans="1:6" ht="45.6">
      <c r="A354" s="131"/>
      <c r="B354" s="99"/>
      <c r="C354" s="122" t="s">
        <v>2623</v>
      </c>
      <c r="D354" s="108"/>
      <c r="E354" s="120"/>
    </row>
    <row r="355" spans="1:6" ht="22.8">
      <c r="A355" s="131"/>
      <c r="B355" s="99"/>
      <c r="C355" s="102" t="s">
        <v>3282</v>
      </c>
      <c r="D355" s="99" t="s">
        <v>2616</v>
      </c>
      <c r="E355" s="120">
        <f t="shared" ref="E355:E367" si="0">6.8*1.2</f>
        <v>8.16</v>
      </c>
    </row>
    <row r="356" spans="1:6" ht="22.8">
      <c r="A356" s="131"/>
      <c r="B356" s="99"/>
      <c r="C356" s="102" t="s">
        <v>3277</v>
      </c>
      <c r="D356" s="99" t="s">
        <v>2616</v>
      </c>
      <c r="E356" s="120">
        <f t="shared" si="0"/>
        <v>8.16</v>
      </c>
    </row>
    <row r="357" spans="1:6" ht="22.8">
      <c r="A357" s="131"/>
      <c r="B357" s="99"/>
      <c r="C357" s="102" t="s">
        <v>3278</v>
      </c>
      <c r="D357" s="99" t="s">
        <v>2616</v>
      </c>
      <c r="E357" s="120">
        <f t="shared" si="0"/>
        <v>8.16</v>
      </c>
    </row>
    <row r="358" spans="1:6" ht="22.8">
      <c r="A358" s="131"/>
      <c r="B358" s="99"/>
      <c r="C358" s="102" t="s">
        <v>3279</v>
      </c>
      <c r="D358" s="99" t="s">
        <v>2616</v>
      </c>
      <c r="E358" s="120">
        <f t="shared" si="0"/>
        <v>8.16</v>
      </c>
    </row>
    <row r="359" spans="1:6" ht="22.8">
      <c r="A359" s="131"/>
      <c r="B359" s="99"/>
      <c r="C359" s="102" t="s">
        <v>3280</v>
      </c>
      <c r="D359" s="99" t="s">
        <v>2616</v>
      </c>
      <c r="E359" s="120">
        <f t="shared" si="0"/>
        <v>8.16</v>
      </c>
    </row>
    <row r="360" spans="1:6" ht="22.8">
      <c r="A360" s="131"/>
      <c r="B360" s="99"/>
      <c r="C360" s="102" t="s">
        <v>3281</v>
      </c>
      <c r="D360" s="99" t="s">
        <v>2616</v>
      </c>
      <c r="E360" s="120">
        <f t="shared" si="0"/>
        <v>8.16</v>
      </c>
    </row>
    <row r="361" spans="1:6" ht="22.8">
      <c r="A361" s="131"/>
      <c r="B361" s="99"/>
      <c r="C361" s="102" t="s">
        <v>3283</v>
      </c>
      <c r="D361" s="99" t="s">
        <v>2616</v>
      </c>
      <c r="E361" s="120">
        <f t="shared" si="0"/>
        <v>8.16</v>
      </c>
    </row>
    <row r="362" spans="1:6" ht="22.8">
      <c r="A362" s="131"/>
      <c r="B362" s="99"/>
      <c r="C362" s="102" t="s">
        <v>3718</v>
      </c>
      <c r="D362" s="99" t="s">
        <v>2616</v>
      </c>
      <c r="E362" s="120">
        <f t="shared" si="0"/>
        <v>8.16</v>
      </c>
    </row>
    <row r="363" spans="1:6" ht="22.8">
      <c r="A363" s="131"/>
      <c r="B363" s="99"/>
      <c r="C363" s="102" t="s">
        <v>3719</v>
      </c>
      <c r="D363" s="99" t="s">
        <v>2616</v>
      </c>
      <c r="E363" s="120">
        <f t="shared" si="0"/>
        <v>8.16</v>
      </c>
    </row>
    <row r="364" spans="1:6" ht="22.8">
      <c r="A364" s="131"/>
      <c r="B364" s="99"/>
      <c r="C364" s="102" t="s">
        <v>3720</v>
      </c>
      <c r="D364" s="99" t="s">
        <v>2616</v>
      </c>
      <c r="E364" s="120">
        <f t="shared" si="0"/>
        <v>8.16</v>
      </c>
    </row>
    <row r="365" spans="1:6" ht="22.8">
      <c r="A365" s="131"/>
      <c r="B365" s="99"/>
      <c r="C365" s="102" t="s">
        <v>3721</v>
      </c>
      <c r="D365" s="99" t="s">
        <v>2616</v>
      </c>
      <c r="E365" s="120">
        <f t="shared" si="0"/>
        <v>8.16</v>
      </c>
    </row>
    <row r="366" spans="1:6" ht="22.8">
      <c r="A366" s="131"/>
      <c r="B366" s="99"/>
      <c r="C366" s="102" t="s">
        <v>3722</v>
      </c>
      <c r="D366" s="99" t="s">
        <v>2616</v>
      </c>
      <c r="E366" s="120">
        <f t="shared" si="0"/>
        <v>8.16</v>
      </c>
    </row>
    <row r="367" spans="1:6" ht="22.8">
      <c r="A367" s="131"/>
      <c r="B367" s="99"/>
      <c r="C367" s="102" t="s">
        <v>3723</v>
      </c>
      <c r="D367" s="99" t="s">
        <v>2616</v>
      </c>
      <c r="E367" s="120">
        <f t="shared" si="0"/>
        <v>8.16</v>
      </c>
    </row>
    <row r="368" spans="1:6">
      <c r="A368" s="132"/>
      <c r="B368" s="56"/>
      <c r="C368" s="114"/>
      <c r="D368" s="115"/>
      <c r="E368" s="133"/>
    </row>
    <row r="369" spans="1:8" ht="26.4">
      <c r="A369" s="134" t="s">
        <v>3588</v>
      </c>
      <c r="B369" s="97" t="s">
        <v>2816</v>
      </c>
      <c r="C369" s="111" t="s">
        <v>3743</v>
      </c>
      <c r="D369" s="115" t="s">
        <v>2489</v>
      </c>
      <c r="E369" s="74">
        <f>ROUND(SUM(E371:E377),2)</f>
        <v>8</v>
      </c>
      <c r="H369" s="49"/>
    </row>
    <row r="370" spans="1:8" ht="22.8">
      <c r="A370" s="134"/>
      <c r="B370" s="97"/>
      <c r="C370" s="109" t="s">
        <v>3746</v>
      </c>
      <c r="D370" s="115"/>
      <c r="E370" s="133"/>
      <c r="H370" s="49"/>
    </row>
    <row r="371" spans="1:8" ht="22.8">
      <c r="A371" s="131"/>
      <c r="B371" s="99"/>
      <c r="C371" s="109" t="s">
        <v>3744</v>
      </c>
      <c r="D371" s="108" t="s">
        <v>2488</v>
      </c>
      <c r="E371" s="120">
        <v>1</v>
      </c>
      <c r="F371" s="164"/>
    </row>
    <row r="372" spans="1:8" ht="22.2" customHeight="1">
      <c r="A372" s="131"/>
      <c r="B372" s="99"/>
      <c r="C372" s="109" t="s">
        <v>3745</v>
      </c>
      <c r="D372" s="108" t="s">
        <v>2488</v>
      </c>
      <c r="E372" s="120">
        <v>1</v>
      </c>
      <c r="F372" s="164"/>
    </row>
    <row r="373" spans="1:8" ht="22.8">
      <c r="A373" s="131"/>
      <c r="B373" s="99"/>
      <c r="C373" s="109" t="s">
        <v>3751</v>
      </c>
      <c r="D373" s="108" t="s">
        <v>2488</v>
      </c>
      <c r="E373" s="120">
        <v>1</v>
      </c>
      <c r="F373" s="164"/>
    </row>
    <row r="374" spans="1:8" ht="22.8">
      <c r="A374" s="131"/>
      <c r="B374" s="99"/>
      <c r="C374" s="109" t="s">
        <v>3747</v>
      </c>
      <c r="D374" s="108" t="s">
        <v>2488</v>
      </c>
      <c r="E374" s="120">
        <v>1</v>
      </c>
      <c r="F374" s="164"/>
    </row>
    <row r="375" spans="1:8" ht="38.4" customHeight="1">
      <c r="A375" s="131"/>
      <c r="B375" s="99"/>
      <c r="C375" s="109" t="s">
        <v>3748</v>
      </c>
      <c r="D375" s="108" t="s">
        <v>2488</v>
      </c>
      <c r="E375" s="120">
        <v>2</v>
      </c>
      <c r="F375" s="164"/>
    </row>
    <row r="376" spans="1:8" ht="34.200000000000003">
      <c r="A376" s="131"/>
      <c r="B376" s="99"/>
      <c r="C376" s="109" t="s">
        <v>3749</v>
      </c>
      <c r="D376" s="108" t="s">
        <v>2488</v>
      </c>
      <c r="E376" s="120">
        <v>1</v>
      </c>
      <c r="F376" s="164"/>
    </row>
    <row r="377" spans="1:8" ht="34.200000000000003">
      <c r="A377" s="131"/>
      <c r="B377" s="99"/>
      <c r="C377" s="109" t="s">
        <v>3750</v>
      </c>
      <c r="D377" s="108" t="s">
        <v>2488</v>
      </c>
      <c r="E377" s="120">
        <v>1</v>
      </c>
      <c r="F377" s="164"/>
    </row>
    <row r="378" spans="1:8" ht="46.95" customHeight="1">
      <c r="A378" s="131"/>
      <c r="B378" s="99"/>
      <c r="C378" s="109" t="s">
        <v>3752</v>
      </c>
      <c r="D378" s="108"/>
      <c r="E378" s="120"/>
      <c r="F378" s="164"/>
    </row>
    <row r="379" spans="1:8">
      <c r="A379" s="132"/>
      <c r="B379" s="56"/>
      <c r="C379" s="114"/>
      <c r="D379" s="115"/>
      <c r="E379" s="133"/>
      <c r="F379" s="164"/>
    </row>
    <row r="380" spans="1:8" ht="26.4">
      <c r="A380" s="134" t="s">
        <v>3589</v>
      </c>
      <c r="B380" s="56" t="s">
        <v>2648</v>
      </c>
      <c r="C380" s="114" t="s">
        <v>2649</v>
      </c>
      <c r="D380" s="115" t="s">
        <v>2489</v>
      </c>
      <c r="E380" s="74">
        <f>ROUND(SUM(E382:E383),2)</f>
        <v>19</v>
      </c>
      <c r="F380" s="164"/>
    </row>
    <row r="381" spans="1:8" s="47" customFormat="1" ht="36">
      <c r="A381" s="131"/>
      <c r="B381" s="99"/>
      <c r="C381" s="156" t="s">
        <v>2534</v>
      </c>
      <c r="D381" s="108"/>
      <c r="E381" s="120"/>
      <c r="F381" s="164"/>
    </row>
    <row r="382" spans="1:8" s="47" customFormat="1" ht="34.200000000000003">
      <c r="A382" s="131"/>
      <c r="B382" s="99"/>
      <c r="C382" s="109" t="s">
        <v>3274</v>
      </c>
      <c r="D382" s="108" t="s">
        <v>2488</v>
      </c>
      <c r="E382" s="120">
        <v>11</v>
      </c>
      <c r="F382" s="164"/>
    </row>
    <row r="383" spans="1:8" s="47" customFormat="1" ht="12">
      <c r="A383" s="131"/>
      <c r="B383" s="99"/>
      <c r="C383" s="109" t="s">
        <v>3895</v>
      </c>
      <c r="D383" s="108" t="s">
        <v>2488</v>
      </c>
      <c r="E383" s="120">
        <v>8</v>
      </c>
      <c r="F383" s="164"/>
    </row>
    <row r="384" spans="1:8" hidden="1">
      <c r="A384" s="132"/>
      <c r="B384" s="56"/>
      <c r="C384" s="114"/>
      <c r="D384" s="115"/>
      <c r="E384" s="133"/>
      <c r="F384" s="164"/>
    </row>
    <row r="385" spans="1:6" hidden="1">
      <c r="A385" s="188"/>
      <c r="B385" s="189"/>
      <c r="C385" s="190"/>
      <c r="D385" s="191"/>
      <c r="E385" s="192"/>
      <c r="F385" s="544"/>
    </row>
    <row r="386" spans="1:6" ht="36" hidden="1" customHeight="1">
      <c r="A386" s="157"/>
      <c r="B386" s="158"/>
      <c r="C386" s="193"/>
      <c r="D386" s="158"/>
      <c r="E386" s="194"/>
      <c r="F386" s="544"/>
    </row>
    <row r="387" spans="1:6">
      <c r="A387" s="131"/>
      <c r="B387" s="99"/>
      <c r="C387" s="109"/>
      <c r="D387" s="99"/>
      <c r="E387" s="120"/>
      <c r="F387" s="168"/>
    </row>
    <row r="388" spans="1:6">
      <c r="A388" s="134" t="s">
        <v>3590</v>
      </c>
      <c r="B388" s="97" t="s">
        <v>2929</v>
      </c>
      <c r="C388" s="111" t="s">
        <v>3975</v>
      </c>
      <c r="D388" s="110" t="s">
        <v>2752</v>
      </c>
      <c r="E388" s="237">
        <f>ROUND(SUM(E389),2)</f>
        <v>1636.42</v>
      </c>
      <c r="F388" s="168"/>
    </row>
    <row r="389" spans="1:6" ht="34.200000000000003">
      <c r="A389" s="131"/>
      <c r="B389" s="99"/>
      <c r="C389" s="109" t="s">
        <v>3409</v>
      </c>
      <c r="D389" s="108" t="s">
        <v>2752</v>
      </c>
      <c r="E389" s="120">
        <f>606.08*2.7</f>
        <v>1636.4160000000002</v>
      </c>
      <c r="F389" s="168"/>
    </row>
    <row r="390" spans="1:6">
      <c r="A390" s="199"/>
      <c r="B390" s="99"/>
      <c r="C390" s="152"/>
      <c r="D390" s="151"/>
      <c r="E390" s="196"/>
      <c r="F390" s="168"/>
    </row>
    <row r="391" spans="1:6">
      <c r="A391" s="200" t="s">
        <v>3591</v>
      </c>
      <c r="B391" s="97" t="s">
        <v>3022</v>
      </c>
      <c r="C391" s="197" t="s">
        <v>3059</v>
      </c>
      <c r="D391" s="198" t="s">
        <v>2114</v>
      </c>
      <c r="E391" s="75">
        <f>ROUND(SUM(E392:E393),2)</f>
        <v>5</v>
      </c>
      <c r="F391" s="195"/>
    </row>
    <row r="392" spans="1:6" ht="19.95" customHeight="1">
      <c r="A392" s="199"/>
      <c r="B392" s="99"/>
      <c r="C392" s="152" t="s">
        <v>3060</v>
      </c>
      <c r="D392" s="151" t="s">
        <v>2114</v>
      </c>
      <c r="E392" s="196">
        <v>3</v>
      </c>
      <c r="F392" s="168"/>
    </row>
    <row r="393" spans="1:6">
      <c r="A393" s="199"/>
      <c r="B393" s="99"/>
      <c r="C393" s="152" t="s">
        <v>3158</v>
      </c>
      <c r="D393" s="151" t="s">
        <v>2114</v>
      </c>
      <c r="E393" s="196">
        <v>2</v>
      </c>
      <c r="F393" s="168"/>
    </row>
    <row r="394" spans="1:6">
      <c r="A394" s="199"/>
      <c r="B394" s="99"/>
      <c r="C394" s="152"/>
      <c r="D394" s="151"/>
      <c r="E394" s="196"/>
      <c r="F394" s="168"/>
    </row>
    <row r="395" spans="1:6">
      <c r="A395" s="200" t="s">
        <v>3592</v>
      </c>
      <c r="B395" s="97" t="s">
        <v>3410</v>
      </c>
      <c r="C395" s="197" t="s">
        <v>3116</v>
      </c>
      <c r="D395" s="198" t="s">
        <v>2487</v>
      </c>
      <c r="E395" s="75">
        <f>ROUND(SUM(E396),2)</f>
        <v>121.35</v>
      </c>
      <c r="F395" s="195"/>
    </row>
    <row r="396" spans="1:6" ht="57">
      <c r="A396" s="131"/>
      <c r="B396" s="99"/>
      <c r="C396" s="109" t="s">
        <v>3119</v>
      </c>
      <c r="D396" s="108" t="s">
        <v>2114</v>
      </c>
      <c r="E396" s="120">
        <f xml:space="preserve"> 8 + 9.85 + 2.95 + 2.95 + 9.85 + 2.95 + 2.95 + 19.85 + 2.95 + 2.95 + 9.85 + 8 + 9.85 + 0.2 + 0.2 + 5.85 + 0.2 + 5.85 + 0.2 + 5.85 + 0.2 + 9.85</f>
        <v>121.35</v>
      </c>
      <c r="F396" s="168"/>
    </row>
    <row r="397" spans="1:6">
      <c r="A397" s="131"/>
      <c r="B397" s="99"/>
      <c r="C397" s="109"/>
      <c r="D397" s="108"/>
      <c r="E397" s="120"/>
      <c r="F397" s="168"/>
    </row>
    <row r="398" spans="1:6">
      <c r="A398" s="134" t="s">
        <v>3593</v>
      </c>
      <c r="B398" s="97" t="s">
        <v>3411</v>
      </c>
      <c r="C398" s="111" t="s">
        <v>3147</v>
      </c>
      <c r="D398" s="108" t="s">
        <v>3056</v>
      </c>
      <c r="E398" s="133">
        <f>ROUND(SUM(E399),2)</f>
        <v>1</v>
      </c>
      <c r="F398" s="195"/>
    </row>
    <row r="399" spans="1:6">
      <c r="A399" s="131"/>
      <c r="B399" s="99"/>
      <c r="C399" s="109" t="s">
        <v>2659</v>
      </c>
      <c r="D399" s="108" t="s">
        <v>2723</v>
      </c>
      <c r="E399" s="120">
        <v>1</v>
      </c>
      <c r="F399" s="168"/>
    </row>
    <row r="400" spans="1:6">
      <c r="A400" s="131"/>
      <c r="B400" s="99"/>
      <c r="C400" s="109"/>
      <c r="D400" s="108"/>
      <c r="E400" s="120"/>
      <c r="F400" s="168"/>
    </row>
    <row r="401" spans="1:6" ht="26.4">
      <c r="A401" s="134" t="s">
        <v>3594</v>
      </c>
      <c r="B401" s="97" t="s">
        <v>3412</v>
      </c>
      <c r="C401" s="111" t="s">
        <v>3197</v>
      </c>
      <c r="D401" s="110" t="s">
        <v>3198</v>
      </c>
      <c r="E401" s="133">
        <f>ROUND((E402),2)</f>
        <v>1.4</v>
      </c>
      <c r="F401" s="195"/>
    </row>
    <row r="402" spans="1:6" ht="34.200000000000003">
      <c r="A402" s="131"/>
      <c r="B402" s="99"/>
      <c r="C402" s="109" t="s">
        <v>3199</v>
      </c>
      <c r="D402" s="108" t="s">
        <v>2894</v>
      </c>
      <c r="E402" s="120">
        <f>(5.4+5.4+3.52+3.52+(0.4*4))*0.18*0.4</f>
        <v>1.39968</v>
      </c>
      <c r="F402" s="168"/>
    </row>
    <row r="403" spans="1:6">
      <c r="A403" s="131"/>
      <c r="B403" s="99"/>
      <c r="C403" s="109"/>
      <c r="D403" s="108"/>
      <c r="E403" s="120"/>
      <c r="F403" s="168"/>
    </row>
    <row r="404" spans="1:6">
      <c r="A404" s="132"/>
      <c r="B404" s="56"/>
      <c r="C404" s="114"/>
      <c r="D404" s="115"/>
      <c r="E404" s="133"/>
    </row>
    <row r="405" spans="1:6" ht="26.4">
      <c r="A405" s="134" t="s">
        <v>3595</v>
      </c>
      <c r="B405" s="97" t="s">
        <v>3413</v>
      </c>
      <c r="C405" s="111" t="s">
        <v>3238</v>
      </c>
      <c r="D405" s="110" t="s">
        <v>3056</v>
      </c>
      <c r="E405" s="133">
        <f>ROUND(SUM(E406:E411),2)</f>
        <v>6</v>
      </c>
      <c r="F405" s="195"/>
    </row>
    <row r="406" spans="1:6" ht="57">
      <c r="A406" s="132"/>
      <c r="B406" s="97"/>
      <c r="C406" s="109" t="s">
        <v>3264</v>
      </c>
      <c r="D406" s="108"/>
      <c r="E406" s="120"/>
    </row>
    <row r="407" spans="1:6">
      <c r="A407" s="132"/>
      <c r="B407" s="97"/>
      <c r="C407" s="102" t="s">
        <v>3063</v>
      </c>
      <c r="D407" s="99" t="s">
        <v>2723</v>
      </c>
      <c r="E407" s="120">
        <v>1</v>
      </c>
    </row>
    <row r="408" spans="1:6">
      <c r="A408" s="132"/>
      <c r="B408" s="97"/>
      <c r="C408" s="102" t="s">
        <v>3065</v>
      </c>
      <c r="D408" s="99" t="s">
        <v>2723</v>
      </c>
      <c r="E408" s="120">
        <v>2</v>
      </c>
    </row>
    <row r="409" spans="1:6">
      <c r="A409" s="132"/>
      <c r="B409" s="97"/>
      <c r="C409" s="102" t="s">
        <v>3086</v>
      </c>
      <c r="D409" s="99" t="s">
        <v>2723</v>
      </c>
      <c r="E409" s="120">
        <v>1</v>
      </c>
    </row>
    <row r="410" spans="1:6">
      <c r="A410" s="132"/>
      <c r="B410" s="56"/>
      <c r="C410" s="102" t="s">
        <v>3087</v>
      </c>
      <c r="D410" s="99" t="s">
        <v>2723</v>
      </c>
      <c r="E410" s="120">
        <v>1</v>
      </c>
    </row>
    <row r="411" spans="1:6">
      <c r="A411" s="132"/>
      <c r="B411" s="56"/>
      <c r="C411" s="102" t="s">
        <v>3088</v>
      </c>
      <c r="D411" s="99" t="s">
        <v>2723</v>
      </c>
      <c r="E411" s="120">
        <v>1</v>
      </c>
    </row>
    <row r="412" spans="1:6">
      <c r="A412" s="132"/>
      <c r="B412" s="56"/>
      <c r="C412" s="109"/>
      <c r="D412" s="115"/>
      <c r="E412" s="133"/>
    </row>
    <row r="413" spans="1:6" ht="26.4">
      <c r="A413" s="134" t="s">
        <v>3596</v>
      </c>
      <c r="B413" s="97" t="s">
        <v>3414</v>
      </c>
      <c r="C413" s="111" t="s">
        <v>3239</v>
      </c>
      <c r="D413" s="110" t="s">
        <v>3056</v>
      </c>
      <c r="E413" s="133">
        <f>ROUND(SUM(E414),2)</f>
        <v>3</v>
      </c>
      <c r="F413" s="201"/>
    </row>
    <row r="414" spans="1:6" ht="34.200000000000003">
      <c r="A414" s="93"/>
      <c r="B414" s="99"/>
      <c r="C414" s="102" t="s">
        <v>3237</v>
      </c>
      <c r="D414" s="99" t="s">
        <v>2723</v>
      </c>
      <c r="E414" s="101">
        <v>3</v>
      </c>
    </row>
    <row r="415" spans="1:6">
      <c r="A415" s="26"/>
      <c r="B415" s="51"/>
      <c r="C415" s="27"/>
      <c r="D415" s="53"/>
      <c r="E415" s="75"/>
    </row>
    <row r="416" spans="1:6">
      <c r="A416" s="134" t="s">
        <v>3597</v>
      </c>
      <c r="B416" s="97" t="s">
        <v>3415</v>
      </c>
      <c r="C416" s="111" t="s">
        <v>3268</v>
      </c>
      <c r="D416" s="110" t="s">
        <v>3056</v>
      </c>
      <c r="E416" s="133">
        <f>ROUND((SUM(E418:E432)),2)</f>
        <v>15</v>
      </c>
      <c r="F416" s="195"/>
    </row>
    <row r="417" spans="1:5" ht="22.8">
      <c r="A417" s="132"/>
      <c r="B417" s="97"/>
      <c r="C417" s="109" t="s">
        <v>3261</v>
      </c>
      <c r="D417" s="115"/>
      <c r="E417" s="133"/>
    </row>
    <row r="418" spans="1:5">
      <c r="A418" s="132"/>
      <c r="B418" s="97"/>
      <c r="C418" s="109" t="s">
        <v>3079</v>
      </c>
      <c r="D418" s="99" t="s">
        <v>2723</v>
      </c>
      <c r="E418" s="120">
        <v>1</v>
      </c>
    </row>
    <row r="419" spans="1:5">
      <c r="A419" s="132"/>
      <c r="B419" s="97"/>
      <c r="C419" s="109" t="s">
        <v>3153</v>
      </c>
      <c r="D419" s="99" t="s">
        <v>2723</v>
      </c>
      <c r="E419" s="120">
        <v>1</v>
      </c>
    </row>
    <row r="420" spans="1:5">
      <c r="A420" s="132"/>
      <c r="B420" s="97"/>
      <c r="C420" s="109" t="s">
        <v>3154</v>
      </c>
      <c r="D420" s="99" t="s">
        <v>2723</v>
      </c>
      <c r="E420" s="120">
        <v>1</v>
      </c>
    </row>
    <row r="421" spans="1:5">
      <c r="A421" s="132"/>
      <c r="B421" s="97"/>
      <c r="C421" s="109" t="s">
        <v>3155</v>
      </c>
      <c r="D421" s="99" t="s">
        <v>2723</v>
      </c>
      <c r="E421" s="120">
        <v>1</v>
      </c>
    </row>
    <row r="422" spans="1:5">
      <c r="A422" s="132"/>
      <c r="B422" s="97"/>
      <c r="C422" s="109" t="s">
        <v>3156</v>
      </c>
      <c r="D422" s="99" t="s">
        <v>2723</v>
      </c>
      <c r="E422" s="120">
        <v>1</v>
      </c>
    </row>
    <row r="423" spans="1:5">
      <c r="A423" s="132"/>
      <c r="B423" s="97"/>
      <c r="C423" s="109" t="s">
        <v>3262</v>
      </c>
      <c r="D423" s="99" t="s">
        <v>2723</v>
      </c>
      <c r="E423" s="120">
        <v>1</v>
      </c>
    </row>
    <row r="424" spans="1:5">
      <c r="A424" s="132"/>
      <c r="B424" s="97"/>
      <c r="C424" s="109" t="s">
        <v>3161</v>
      </c>
      <c r="D424" s="99" t="s">
        <v>2723</v>
      </c>
      <c r="E424" s="120">
        <v>1</v>
      </c>
    </row>
    <row r="425" spans="1:5">
      <c r="A425" s="132"/>
      <c r="B425" s="97"/>
      <c r="C425" s="109" t="s">
        <v>3263</v>
      </c>
      <c r="D425" s="99" t="s">
        <v>2723</v>
      </c>
      <c r="E425" s="120">
        <v>1</v>
      </c>
    </row>
    <row r="426" spans="1:5">
      <c r="A426" s="132"/>
      <c r="B426" s="97"/>
      <c r="C426" s="109" t="s">
        <v>3242</v>
      </c>
      <c r="D426" s="99" t="s">
        <v>2723</v>
      </c>
      <c r="E426" s="120">
        <v>1</v>
      </c>
    </row>
    <row r="427" spans="1:5">
      <c r="A427" s="132"/>
      <c r="B427" s="56"/>
      <c r="C427" s="109" t="s">
        <v>3253</v>
      </c>
      <c r="D427" s="99" t="s">
        <v>2723</v>
      </c>
      <c r="E427" s="120">
        <v>1</v>
      </c>
    </row>
    <row r="428" spans="1:5">
      <c r="A428" s="132"/>
      <c r="B428" s="56"/>
      <c r="C428" s="109" t="s">
        <v>2691</v>
      </c>
      <c r="D428" s="99" t="s">
        <v>2723</v>
      </c>
      <c r="E428" s="120">
        <v>1</v>
      </c>
    </row>
    <row r="429" spans="1:5">
      <c r="A429" s="132"/>
      <c r="B429" s="56"/>
      <c r="C429" s="109" t="s">
        <v>3265</v>
      </c>
      <c r="D429" s="99" t="s">
        <v>2723</v>
      </c>
      <c r="E429" s="120">
        <v>1</v>
      </c>
    </row>
    <row r="430" spans="1:5">
      <c r="A430" s="132"/>
      <c r="B430" s="56"/>
      <c r="C430" s="109" t="s">
        <v>3266</v>
      </c>
      <c r="D430" s="99" t="s">
        <v>2723</v>
      </c>
      <c r="E430" s="120">
        <v>1</v>
      </c>
    </row>
    <row r="431" spans="1:5">
      <c r="A431" s="132"/>
      <c r="B431" s="56"/>
      <c r="C431" s="109" t="s">
        <v>2690</v>
      </c>
      <c r="D431" s="99" t="s">
        <v>2723</v>
      </c>
      <c r="E431" s="120">
        <v>1</v>
      </c>
    </row>
    <row r="432" spans="1:5">
      <c r="A432" s="132"/>
      <c r="B432" s="56"/>
      <c r="C432" s="109" t="s">
        <v>3267</v>
      </c>
      <c r="D432" s="99" t="s">
        <v>2723</v>
      </c>
      <c r="E432" s="120">
        <v>1</v>
      </c>
    </row>
    <row r="433" spans="1:6">
      <c r="A433" s="132"/>
      <c r="B433" s="56"/>
      <c r="C433" s="109"/>
      <c r="D433" s="108"/>
      <c r="E433" s="120"/>
    </row>
    <row r="434" spans="1:6">
      <c r="A434" s="134" t="s">
        <v>3598</v>
      </c>
      <c r="B434" s="97" t="s">
        <v>3416</v>
      </c>
      <c r="C434" s="111" t="s">
        <v>3284</v>
      </c>
      <c r="D434" s="110" t="s">
        <v>3056</v>
      </c>
      <c r="E434" s="133">
        <f>ROUND((SUM(E435:E440)),2)</f>
        <v>6</v>
      </c>
      <c r="F434" s="195"/>
    </row>
    <row r="435" spans="1:6">
      <c r="A435" s="132"/>
      <c r="B435" s="97"/>
      <c r="C435" s="109" t="s">
        <v>3079</v>
      </c>
      <c r="D435" s="99" t="s">
        <v>2723</v>
      </c>
      <c r="E435" s="120">
        <v>1</v>
      </c>
    </row>
    <row r="436" spans="1:6">
      <c r="A436" s="132"/>
      <c r="B436" s="97"/>
      <c r="C436" s="109" t="s">
        <v>3153</v>
      </c>
      <c r="D436" s="99" t="s">
        <v>2723</v>
      </c>
      <c r="E436" s="120">
        <v>1</v>
      </c>
    </row>
    <row r="437" spans="1:6">
      <c r="A437" s="132"/>
      <c r="B437" s="97"/>
      <c r="C437" s="109" t="s">
        <v>3154</v>
      </c>
      <c r="D437" s="99" t="s">
        <v>2723</v>
      </c>
      <c r="E437" s="120">
        <v>1</v>
      </c>
    </row>
    <row r="438" spans="1:6">
      <c r="A438" s="132"/>
      <c r="B438" s="56"/>
      <c r="C438" s="109" t="s">
        <v>3155</v>
      </c>
      <c r="D438" s="99" t="s">
        <v>2723</v>
      </c>
      <c r="E438" s="120">
        <v>1</v>
      </c>
    </row>
    <row r="439" spans="1:6">
      <c r="A439" s="132"/>
      <c r="B439" s="56"/>
      <c r="C439" s="109" t="s">
        <v>3156</v>
      </c>
      <c r="D439" s="99" t="s">
        <v>2723</v>
      </c>
      <c r="E439" s="120">
        <v>1</v>
      </c>
    </row>
    <row r="440" spans="1:6">
      <c r="A440" s="26"/>
      <c r="B440" s="51"/>
      <c r="C440" s="109" t="s">
        <v>3285</v>
      </c>
      <c r="D440" s="99" t="s">
        <v>2723</v>
      </c>
      <c r="E440" s="120">
        <v>1</v>
      </c>
    </row>
    <row r="441" spans="1:6">
      <c r="A441" s="26"/>
      <c r="B441" s="51"/>
      <c r="C441" s="109"/>
      <c r="D441" s="108"/>
      <c r="E441" s="120"/>
    </row>
    <row r="442" spans="1:6" ht="26.4">
      <c r="A442" s="134" t="s">
        <v>3599</v>
      </c>
      <c r="B442" s="97" t="s">
        <v>3417</v>
      </c>
      <c r="C442" s="111" t="s">
        <v>3896</v>
      </c>
      <c r="D442" s="110" t="s">
        <v>3056</v>
      </c>
      <c r="E442" s="133">
        <f>ROUND(E443,2)</f>
        <v>1</v>
      </c>
      <c r="F442" s="195"/>
    </row>
    <row r="443" spans="1:6">
      <c r="A443" s="132"/>
      <c r="B443" s="97"/>
      <c r="C443" s="109" t="s">
        <v>3286</v>
      </c>
      <c r="D443" s="99" t="s">
        <v>2723</v>
      </c>
      <c r="E443" s="120">
        <v>1</v>
      </c>
    </row>
    <row r="444" spans="1:6">
      <c r="A444" s="26"/>
      <c r="B444" s="51"/>
      <c r="C444" s="109"/>
      <c r="D444" s="108"/>
      <c r="E444" s="120"/>
    </row>
    <row r="445" spans="1:6">
      <c r="A445" s="28"/>
      <c r="B445" s="55">
        <v>30000</v>
      </c>
      <c r="C445" s="29" t="s">
        <v>94</v>
      </c>
      <c r="D445" s="54"/>
      <c r="E445" s="76"/>
    </row>
    <row r="446" spans="1:6" ht="26.4" hidden="1">
      <c r="A446" s="43"/>
      <c r="B446" s="56">
        <v>30101</v>
      </c>
      <c r="C446" s="92" t="s">
        <v>95</v>
      </c>
      <c r="D446" s="56" t="s">
        <v>30</v>
      </c>
      <c r="E446" s="74"/>
    </row>
    <row r="447" spans="1:6" hidden="1">
      <c r="A447" s="43"/>
      <c r="B447" s="56"/>
      <c r="C447" s="102"/>
      <c r="D447" s="99"/>
      <c r="E447" s="101"/>
    </row>
    <row r="448" spans="1:6" hidden="1">
      <c r="A448" s="43"/>
      <c r="B448" s="56"/>
      <c r="C448" s="102"/>
      <c r="D448" s="99"/>
      <c r="E448" s="101"/>
    </row>
    <row r="449" spans="1:6" hidden="1">
      <c r="A449" s="25"/>
      <c r="B449" s="51"/>
      <c r="C449" s="17"/>
      <c r="D449" s="51"/>
      <c r="E449" s="73"/>
    </row>
    <row r="450" spans="1:6" hidden="1">
      <c r="A450" s="25"/>
      <c r="B450" s="51"/>
      <c r="C450" s="17"/>
      <c r="D450" s="51"/>
      <c r="E450" s="73"/>
    </row>
    <row r="451" spans="1:6">
      <c r="A451" s="91" t="s">
        <v>3600</v>
      </c>
      <c r="B451" s="56">
        <v>30104</v>
      </c>
      <c r="C451" s="124" t="s">
        <v>96</v>
      </c>
      <c r="D451" s="56" t="s">
        <v>30</v>
      </c>
      <c r="E451" s="74">
        <f>ROUND(SUM(E452:E464),2)</f>
        <v>128.38</v>
      </c>
      <c r="F451" s="205"/>
    </row>
    <row r="452" spans="1:6" s="47" customFormat="1" ht="34.200000000000003">
      <c r="A452" s="93"/>
      <c r="B452" s="99"/>
      <c r="C452" s="102" t="s">
        <v>3732</v>
      </c>
      <c r="D452" s="99" t="s">
        <v>30</v>
      </c>
      <c r="E452" s="101">
        <f>(E11)*6/1000*1.5</f>
        <v>15.501690000000004</v>
      </c>
      <c r="F452" s="163"/>
    </row>
    <row r="453" spans="1:6" s="47" customFormat="1" ht="22.8">
      <c r="A453" s="93"/>
      <c r="B453" s="99"/>
      <c r="C453" s="102" t="s">
        <v>3733</v>
      </c>
      <c r="D453" s="99" t="s">
        <v>30</v>
      </c>
      <c r="E453" s="101">
        <f>78.39*0.1</f>
        <v>7.8390000000000004</v>
      </c>
      <c r="F453" s="163"/>
    </row>
    <row r="454" spans="1:6" s="47" customFormat="1" ht="34.200000000000003">
      <c r="A454" s="93"/>
      <c r="B454" s="99"/>
      <c r="C454" s="102" t="s">
        <v>3734</v>
      </c>
      <c r="D454" s="99" t="s">
        <v>30</v>
      </c>
      <c r="E454" s="101">
        <f>E71*1.5</f>
        <v>48.405000000000001</v>
      </c>
      <c r="F454" s="163"/>
    </row>
    <row r="455" spans="1:6" s="47" customFormat="1" ht="34.200000000000003">
      <c r="A455" s="93"/>
      <c r="B455" s="99"/>
      <c r="C455" s="102" t="s">
        <v>3897</v>
      </c>
      <c r="D455" s="99" t="s">
        <v>30</v>
      </c>
      <c r="E455" s="101">
        <f>(E124+E131)*1.5</f>
        <v>6.7350000000000003</v>
      </c>
      <c r="F455" s="163"/>
    </row>
    <row r="456" spans="1:6" s="47" customFormat="1" ht="22.8">
      <c r="A456" s="93"/>
      <c r="B456" s="99"/>
      <c r="C456" s="102" t="s">
        <v>3735</v>
      </c>
      <c r="D456" s="99" t="s">
        <v>30</v>
      </c>
      <c r="E456" s="101">
        <f>12.81*0.05</f>
        <v>0.64050000000000007</v>
      </c>
      <c r="F456" s="163"/>
    </row>
    <row r="457" spans="1:6" s="47" customFormat="1" ht="45.6">
      <c r="A457" s="93"/>
      <c r="B457" s="99"/>
      <c r="C457" s="102" t="s">
        <v>3738</v>
      </c>
      <c r="D457" s="99" t="s">
        <v>30</v>
      </c>
      <c r="E457" s="101">
        <f>(E206*14/1000)*1.5</f>
        <v>33.051059999999993</v>
      </c>
      <c r="F457" s="163"/>
    </row>
    <row r="458" spans="1:6" s="47" customFormat="1" ht="45.6">
      <c r="A458" s="93"/>
      <c r="B458" s="99"/>
      <c r="C458" s="102" t="s">
        <v>3739</v>
      </c>
      <c r="D458" s="99" t="s">
        <v>30</v>
      </c>
      <c r="E458" s="101">
        <f>0.00936*237*1.2</f>
        <v>2.6619839999999999</v>
      </c>
      <c r="F458" s="163"/>
    </row>
    <row r="459" spans="1:6" s="47" customFormat="1" ht="45.6">
      <c r="A459" s="93"/>
      <c r="B459" s="99"/>
      <c r="C459" s="102" t="s">
        <v>3736</v>
      </c>
      <c r="D459" s="99" t="s">
        <v>30</v>
      </c>
      <c r="E459" s="101">
        <f>255.02*0.001*1.2</f>
        <v>0.30602400000000002</v>
      </c>
      <c r="F459" s="163"/>
    </row>
    <row r="460" spans="1:6" s="47" customFormat="1" ht="22.8">
      <c r="A460" s="93"/>
      <c r="B460" s="99"/>
      <c r="C460" s="102" t="s">
        <v>3737</v>
      </c>
      <c r="D460" s="99" t="s">
        <v>30</v>
      </c>
      <c r="E460" s="101">
        <f>(PI())*(0.01^2)*104.19*1.2</f>
        <v>3.9278704629302462E-2</v>
      </c>
      <c r="F460" s="163"/>
    </row>
    <row r="461" spans="1:6" s="47" customFormat="1" ht="22.8">
      <c r="A461" s="93"/>
      <c r="B461" s="99"/>
      <c r="C461" s="102" t="s">
        <v>3740</v>
      </c>
      <c r="D461" s="99" t="s">
        <v>30</v>
      </c>
      <c r="E461" s="101">
        <f>106.08*0.03*1.5</f>
        <v>4.7736000000000001</v>
      </c>
      <c r="F461" s="163"/>
    </row>
    <row r="462" spans="1:6" s="47" customFormat="1" ht="34.200000000000003">
      <c r="A462" s="93"/>
      <c r="B462" s="99"/>
      <c r="C462" s="102" t="s">
        <v>2893</v>
      </c>
      <c r="D462" s="99" t="s">
        <v>30</v>
      </c>
      <c r="E462" s="101">
        <f>50.43*2*0.000323*1.5</f>
        <v>4.8866670000000001E-2</v>
      </c>
      <c r="F462" s="170"/>
    </row>
    <row r="463" spans="1:6" s="47" customFormat="1" ht="45.6">
      <c r="A463" s="93"/>
      <c r="B463" s="99"/>
      <c r="C463" s="238" t="s">
        <v>3418</v>
      </c>
      <c r="D463" s="99" t="s">
        <v>30</v>
      </c>
      <c r="E463" s="101">
        <f>E104*1.5</f>
        <v>6.5549999999999997</v>
      </c>
      <c r="F463" s="170"/>
    </row>
    <row r="464" spans="1:6" s="47" customFormat="1" ht="22.8">
      <c r="A464" s="93"/>
      <c r="B464" s="99"/>
      <c r="C464" s="239" t="s">
        <v>3741</v>
      </c>
      <c r="D464" s="99" t="s">
        <v>30</v>
      </c>
      <c r="E464" s="101">
        <f>1.4*1.3</f>
        <v>1.8199999999999998</v>
      </c>
      <c r="F464" s="170"/>
    </row>
    <row r="465" spans="1:6">
      <c r="A465" s="43"/>
      <c r="B465" s="56"/>
      <c r="C465" s="92"/>
      <c r="D465" s="56"/>
      <c r="E465" s="74"/>
    </row>
    <row r="466" spans="1:6" ht="26.4">
      <c r="A466" s="232" t="s">
        <v>3601</v>
      </c>
      <c r="B466" s="56">
        <v>30105</v>
      </c>
      <c r="C466" s="92" t="s">
        <v>97</v>
      </c>
      <c r="D466" s="56" t="s">
        <v>30</v>
      </c>
      <c r="E466" s="74">
        <f>ROUND(E467+E468+E469,2)</f>
        <v>71.53</v>
      </c>
    </row>
    <row r="467" spans="1:6" ht="22.8">
      <c r="A467" s="117"/>
      <c r="B467" s="99"/>
      <c r="C467" s="102" t="s">
        <v>2620</v>
      </c>
      <c r="D467" s="99" t="s">
        <v>2544</v>
      </c>
      <c r="E467" s="101">
        <f>1649.99*0.03</f>
        <v>49.499699999999997</v>
      </c>
    </row>
    <row r="468" spans="1:6" ht="45.6">
      <c r="A468" s="43"/>
      <c r="B468" s="56"/>
      <c r="C468" s="102" t="s">
        <v>3196</v>
      </c>
      <c r="D468" s="99" t="s">
        <v>2894</v>
      </c>
      <c r="E468" s="101">
        <f>10.2*0.4</f>
        <v>4.08</v>
      </c>
    </row>
    <row r="469" spans="1:6" ht="34.200000000000003">
      <c r="A469" s="43"/>
      <c r="B469" s="56"/>
      <c r="C469" s="102" t="s">
        <v>3276</v>
      </c>
      <c r="D469" s="99" t="s">
        <v>2894</v>
      </c>
      <c r="E469" s="101">
        <f>119.7*0.15</f>
        <v>17.954999999999998</v>
      </c>
    </row>
    <row r="470" spans="1:6">
      <c r="A470" s="30"/>
      <c r="B470" s="56"/>
      <c r="C470" s="92"/>
      <c r="D470" s="56"/>
      <c r="E470" s="74"/>
    </row>
    <row r="471" spans="1:6" hidden="1">
      <c r="A471" s="43"/>
      <c r="B471" s="56">
        <v>30106</v>
      </c>
      <c r="C471" s="92" t="s">
        <v>98</v>
      </c>
      <c r="D471" s="56" t="s">
        <v>30</v>
      </c>
      <c r="E471" s="74"/>
    </row>
    <row r="472" spans="1:6" ht="39.6" hidden="1">
      <c r="A472" s="43"/>
      <c r="B472" s="56">
        <v>30110</v>
      </c>
      <c r="C472" s="92" t="s">
        <v>99</v>
      </c>
      <c r="D472" s="56" t="s">
        <v>100</v>
      </c>
      <c r="E472" s="74"/>
    </row>
    <row r="473" spans="1:6" ht="26.4" hidden="1">
      <c r="A473" s="30"/>
      <c r="B473" s="56">
        <v>30112</v>
      </c>
      <c r="C473" s="92" t="s">
        <v>101</v>
      </c>
      <c r="D473" s="56" t="s">
        <v>2930</v>
      </c>
      <c r="E473" s="74"/>
    </row>
    <row r="474" spans="1:6" ht="26.4" hidden="1">
      <c r="A474" s="43"/>
      <c r="B474" s="56">
        <v>30113</v>
      </c>
      <c r="C474" s="92" t="s">
        <v>102</v>
      </c>
      <c r="D474" s="56" t="s">
        <v>2930</v>
      </c>
      <c r="E474" s="74"/>
    </row>
    <row r="475" spans="1:6" ht="39.6">
      <c r="A475" s="91" t="s">
        <v>3602</v>
      </c>
      <c r="B475" s="56">
        <v>30114</v>
      </c>
      <c r="C475" s="92" t="s">
        <v>103</v>
      </c>
      <c r="D475" s="56" t="s">
        <v>2930</v>
      </c>
      <c r="E475" s="74">
        <v>1</v>
      </c>
    </row>
    <row r="476" spans="1:6" ht="39.6">
      <c r="A476" s="232" t="s">
        <v>3603</v>
      </c>
      <c r="B476" s="56">
        <v>30116</v>
      </c>
      <c r="C476" s="92" t="s">
        <v>104</v>
      </c>
      <c r="D476" s="56" t="s">
        <v>2930</v>
      </c>
      <c r="E476" s="74">
        <v>1</v>
      </c>
    </row>
    <row r="477" spans="1:6">
      <c r="A477" s="31"/>
      <c r="B477" s="56"/>
      <c r="C477" s="114"/>
      <c r="D477" s="115"/>
      <c r="E477" s="74"/>
    </row>
    <row r="478" spans="1:6" ht="26.4">
      <c r="A478" s="118" t="s">
        <v>3604</v>
      </c>
      <c r="B478" s="56" t="s">
        <v>2705</v>
      </c>
      <c r="C478" s="111" t="s">
        <v>3898</v>
      </c>
      <c r="D478" s="115" t="s">
        <v>2706</v>
      </c>
      <c r="E478" s="74">
        <f>ROUND(E479,2)</f>
        <v>4</v>
      </c>
    </row>
    <row r="479" spans="1:6" s="47" customFormat="1" ht="22.8">
      <c r="A479" s="119"/>
      <c r="B479" s="99"/>
      <c r="C479" s="109" t="s">
        <v>3287</v>
      </c>
      <c r="D479" s="108" t="s">
        <v>2706</v>
      </c>
      <c r="E479" s="120">
        <v>4</v>
      </c>
      <c r="F479" s="163"/>
    </row>
    <row r="480" spans="1:6">
      <c r="A480" s="31"/>
      <c r="B480" s="51"/>
      <c r="C480" s="27"/>
      <c r="D480" s="53"/>
      <c r="E480" s="75"/>
    </row>
    <row r="481" spans="1:5">
      <c r="A481" s="28">
        <v>3</v>
      </c>
      <c r="B481" s="55">
        <v>40000</v>
      </c>
      <c r="C481" s="29" t="s">
        <v>105</v>
      </c>
      <c r="D481" s="54"/>
      <c r="E481" s="76"/>
    </row>
    <row r="482" spans="1:5">
      <c r="A482" s="91" t="s">
        <v>2614</v>
      </c>
      <c r="B482" s="56">
        <v>40101</v>
      </c>
      <c r="C482" s="92" t="s">
        <v>106</v>
      </c>
      <c r="D482" s="56" t="s">
        <v>30</v>
      </c>
      <c r="E482" s="74">
        <f>ROUND(E484,2)</f>
        <v>0.98</v>
      </c>
    </row>
    <row r="483" spans="1:5">
      <c r="A483" s="43"/>
      <c r="B483" s="56"/>
      <c r="C483" s="100" t="s">
        <v>2621</v>
      </c>
      <c r="D483" s="99"/>
      <c r="E483" s="101"/>
    </row>
    <row r="484" spans="1:5" ht="34.200000000000003">
      <c r="A484" s="43"/>
      <c r="B484" s="56"/>
      <c r="C484" s="102" t="s">
        <v>3288</v>
      </c>
      <c r="D484" s="99" t="s">
        <v>30</v>
      </c>
      <c r="E484" s="101">
        <f>(3.63 + 10.05 + 4.98 + 4.47 + 3.07 + 2.03 + 4.6)*0.15*0.2</f>
        <v>0.98489999999999989</v>
      </c>
    </row>
    <row r="485" spans="1:5">
      <c r="A485" s="43"/>
      <c r="B485" s="56"/>
      <c r="C485" s="102"/>
      <c r="D485" s="99"/>
      <c r="E485" s="101"/>
    </row>
    <row r="486" spans="1:5" hidden="1">
      <c r="A486" s="43"/>
      <c r="B486" s="56">
        <v>40103</v>
      </c>
      <c r="C486" s="92" t="s">
        <v>107</v>
      </c>
      <c r="D486" s="56" t="s">
        <v>30</v>
      </c>
      <c r="E486" s="74"/>
    </row>
    <row r="487" spans="1:5" hidden="1">
      <c r="A487" s="43"/>
      <c r="B487" s="56">
        <v>40104</v>
      </c>
      <c r="C487" s="92" t="s">
        <v>108</v>
      </c>
      <c r="D487" s="56" t="s">
        <v>30</v>
      </c>
      <c r="E487" s="74"/>
    </row>
    <row r="488" spans="1:5">
      <c r="A488" s="91" t="s">
        <v>2615</v>
      </c>
      <c r="B488" s="56">
        <v>40902</v>
      </c>
      <c r="C488" s="92" t="s">
        <v>109</v>
      </c>
      <c r="D488" s="56" t="s">
        <v>30</v>
      </c>
      <c r="E488" s="74">
        <f>ROUND(E490,2)</f>
        <v>0.98</v>
      </c>
    </row>
    <row r="489" spans="1:5" ht="22.8">
      <c r="A489" s="93"/>
      <c r="B489" s="99"/>
      <c r="C489" s="100" t="s">
        <v>2683</v>
      </c>
      <c r="D489" s="99"/>
      <c r="E489" s="101"/>
    </row>
    <row r="490" spans="1:5" ht="34.200000000000003">
      <c r="A490" s="43"/>
      <c r="B490" s="56"/>
      <c r="C490" s="102" t="s">
        <v>3288</v>
      </c>
      <c r="D490" s="99" t="s">
        <v>30</v>
      </c>
      <c r="E490" s="101">
        <f>(3.63 + 10.05 + 4.98 + 4.47 + 3.07 + 2.03 + 4.6)*0.15*0.2</f>
        <v>0.98489999999999989</v>
      </c>
    </row>
    <row r="491" spans="1:5">
      <c r="A491" s="25"/>
      <c r="B491" s="51"/>
      <c r="C491" s="17"/>
      <c r="D491" s="51"/>
      <c r="E491" s="73"/>
    </row>
    <row r="492" spans="1:5" hidden="1">
      <c r="A492" s="25"/>
      <c r="B492" s="51">
        <v>40904</v>
      </c>
      <c r="C492" s="17" t="s">
        <v>110</v>
      </c>
      <c r="D492" s="51" t="s">
        <v>30</v>
      </c>
      <c r="E492" s="73"/>
    </row>
    <row r="493" spans="1:5" hidden="1">
      <c r="A493" s="25"/>
      <c r="B493" s="51">
        <v>40905</v>
      </c>
      <c r="C493" s="17" t="s">
        <v>111</v>
      </c>
      <c r="D493" s="51" t="s">
        <v>12</v>
      </c>
      <c r="E493" s="73"/>
    </row>
    <row r="494" spans="1:5" ht="26.4" hidden="1">
      <c r="A494" s="25"/>
      <c r="B494" s="51">
        <v>41001</v>
      </c>
      <c r="C494" s="17" t="s">
        <v>112</v>
      </c>
      <c r="D494" s="51" t="s">
        <v>30</v>
      </c>
      <c r="E494" s="73"/>
    </row>
    <row r="495" spans="1:5" hidden="1">
      <c r="A495" s="25"/>
      <c r="B495" s="51">
        <v>41002</v>
      </c>
      <c r="C495" s="17" t="s">
        <v>113</v>
      </c>
      <c r="D495" s="51" t="s">
        <v>12</v>
      </c>
      <c r="E495" s="73"/>
    </row>
    <row r="496" spans="1:5" ht="26.4" hidden="1">
      <c r="A496" s="25"/>
      <c r="B496" s="51">
        <v>41003</v>
      </c>
      <c r="C496" s="17" t="s">
        <v>114</v>
      </c>
      <c r="D496" s="51" t="s">
        <v>30</v>
      </c>
      <c r="E496" s="73"/>
    </row>
    <row r="497" spans="1:5" hidden="1">
      <c r="A497" s="25"/>
      <c r="B497" s="51">
        <v>41004</v>
      </c>
      <c r="C497" s="17" t="s">
        <v>115</v>
      </c>
      <c r="D497" s="51" t="s">
        <v>30</v>
      </c>
      <c r="E497" s="73"/>
    </row>
    <row r="498" spans="1:5" hidden="1">
      <c r="A498" s="25"/>
      <c r="B498" s="51">
        <v>41005</v>
      </c>
      <c r="C498" s="17" t="s">
        <v>116</v>
      </c>
      <c r="D498" s="51" t="s">
        <v>30</v>
      </c>
      <c r="E498" s="73"/>
    </row>
    <row r="499" spans="1:5" hidden="1">
      <c r="A499" s="25"/>
      <c r="B499" s="51">
        <v>41006</v>
      </c>
      <c r="C499" s="17" t="s">
        <v>117</v>
      </c>
      <c r="D499" s="51" t="s">
        <v>118</v>
      </c>
      <c r="E499" s="73"/>
    </row>
    <row r="500" spans="1:5" hidden="1">
      <c r="A500" s="25"/>
      <c r="B500" s="51">
        <v>41007</v>
      </c>
      <c r="C500" s="17" t="s">
        <v>119</v>
      </c>
      <c r="D500" s="51" t="s">
        <v>12</v>
      </c>
      <c r="E500" s="73"/>
    </row>
    <row r="501" spans="1:5" hidden="1">
      <c r="A501" s="25"/>
      <c r="B501" s="51">
        <v>41008</v>
      </c>
      <c r="C501" s="17" t="s">
        <v>120</v>
      </c>
      <c r="D501" s="51" t="s">
        <v>30</v>
      </c>
      <c r="E501" s="73"/>
    </row>
    <row r="502" spans="1:5" hidden="1">
      <c r="A502" s="25"/>
      <c r="B502" s="51">
        <v>41009</v>
      </c>
      <c r="C502" s="17" t="s">
        <v>121</v>
      </c>
      <c r="D502" s="51" t="s">
        <v>30</v>
      </c>
      <c r="E502" s="73"/>
    </row>
    <row r="503" spans="1:5" hidden="1">
      <c r="A503" s="25"/>
      <c r="B503" s="51">
        <v>41010</v>
      </c>
      <c r="C503" s="17" t="s">
        <v>122</v>
      </c>
      <c r="D503" s="51" t="s">
        <v>30</v>
      </c>
      <c r="E503" s="73"/>
    </row>
    <row r="504" spans="1:5" hidden="1">
      <c r="A504" s="25"/>
      <c r="B504" s="51">
        <v>41012</v>
      </c>
      <c r="C504" s="17" t="s">
        <v>123</v>
      </c>
      <c r="D504" s="51" t="s">
        <v>30</v>
      </c>
      <c r="E504" s="73"/>
    </row>
    <row r="505" spans="1:5" ht="26.4" hidden="1">
      <c r="A505" s="25"/>
      <c r="B505" s="51">
        <v>41140</v>
      </c>
      <c r="C505" s="17" t="s">
        <v>124</v>
      </c>
      <c r="D505" s="51" t="s">
        <v>12</v>
      </c>
      <c r="E505" s="73"/>
    </row>
    <row r="506" spans="1:5" hidden="1">
      <c r="A506" s="25"/>
      <c r="B506" s="51">
        <v>41160</v>
      </c>
      <c r="C506" s="17" t="s">
        <v>125</v>
      </c>
      <c r="D506" s="51" t="s">
        <v>30</v>
      </c>
      <c r="E506" s="73"/>
    </row>
    <row r="507" spans="1:5">
      <c r="A507" s="28"/>
      <c r="B507" s="55">
        <v>50000</v>
      </c>
      <c r="C507" s="29" t="s">
        <v>126</v>
      </c>
      <c r="D507" s="54"/>
      <c r="E507" s="76"/>
    </row>
    <row r="508" spans="1:5" hidden="1">
      <c r="A508" s="25"/>
      <c r="B508" s="51">
        <v>50101</v>
      </c>
      <c r="C508" s="17" t="s">
        <v>127</v>
      </c>
      <c r="D508" s="51" t="s">
        <v>39</v>
      </c>
      <c r="E508" s="77"/>
    </row>
    <row r="509" spans="1:5" ht="26.4" hidden="1">
      <c r="A509" s="25"/>
      <c r="B509" s="51">
        <v>50102</v>
      </c>
      <c r="C509" s="17" t="s">
        <v>128</v>
      </c>
      <c r="D509" s="51" t="s">
        <v>129</v>
      </c>
      <c r="E509" s="77"/>
    </row>
    <row r="510" spans="1:5" hidden="1">
      <c r="A510" s="25"/>
      <c r="B510" s="51">
        <v>50103</v>
      </c>
      <c r="C510" s="17" t="s">
        <v>130</v>
      </c>
      <c r="D510" s="51" t="s">
        <v>39</v>
      </c>
      <c r="E510" s="77"/>
    </row>
    <row r="511" spans="1:5" hidden="1">
      <c r="A511" s="25"/>
      <c r="B511" s="51">
        <v>50201</v>
      </c>
      <c r="C511" s="17" t="s">
        <v>131</v>
      </c>
      <c r="D511" s="51" t="s">
        <v>30</v>
      </c>
      <c r="E511" s="77"/>
    </row>
    <row r="512" spans="1:5" hidden="1">
      <c r="A512" s="25"/>
      <c r="B512" s="51">
        <v>50204</v>
      </c>
      <c r="C512" s="17" t="s">
        <v>132</v>
      </c>
      <c r="D512" s="51" t="s">
        <v>30</v>
      </c>
      <c r="E512" s="77"/>
    </row>
    <row r="513" spans="1:5" hidden="1">
      <c r="A513" s="25"/>
      <c r="B513" s="51">
        <v>50250</v>
      </c>
      <c r="C513" s="17" t="s">
        <v>133</v>
      </c>
      <c r="D513" s="51" t="s">
        <v>2930</v>
      </c>
      <c r="E513" s="77"/>
    </row>
    <row r="514" spans="1:5" hidden="1">
      <c r="A514" s="25"/>
      <c r="B514" s="51">
        <v>50251</v>
      </c>
      <c r="C514" s="17" t="s">
        <v>134</v>
      </c>
      <c r="D514" s="51" t="s">
        <v>2930</v>
      </c>
      <c r="E514" s="77"/>
    </row>
    <row r="515" spans="1:5" hidden="1">
      <c r="A515" s="25"/>
      <c r="B515" s="51">
        <v>50301</v>
      </c>
      <c r="C515" s="17" t="s">
        <v>135</v>
      </c>
      <c r="D515" s="51" t="s">
        <v>136</v>
      </c>
      <c r="E515" s="77"/>
    </row>
    <row r="516" spans="1:5" hidden="1">
      <c r="A516" s="25"/>
      <c r="B516" s="51">
        <v>50302</v>
      </c>
      <c r="C516" s="17" t="s">
        <v>137</v>
      </c>
      <c r="D516" s="51" t="s">
        <v>136</v>
      </c>
      <c r="E516" s="77"/>
    </row>
    <row r="517" spans="1:5" hidden="1">
      <c r="A517" s="25"/>
      <c r="B517" s="51">
        <v>50620</v>
      </c>
      <c r="C517" s="17" t="s">
        <v>138</v>
      </c>
      <c r="D517" s="51" t="s">
        <v>30</v>
      </c>
      <c r="E517" s="77"/>
    </row>
    <row r="518" spans="1:5" hidden="1">
      <c r="A518" s="25"/>
      <c r="B518" s="51">
        <v>50901</v>
      </c>
      <c r="C518" s="17" t="s">
        <v>139</v>
      </c>
      <c r="D518" s="51" t="s">
        <v>30</v>
      </c>
      <c r="E518" s="77"/>
    </row>
    <row r="519" spans="1:5" hidden="1">
      <c r="A519" s="25"/>
      <c r="B519" s="51">
        <v>50902</v>
      </c>
      <c r="C519" s="17" t="s">
        <v>140</v>
      </c>
      <c r="D519" s="51" t="s">
        <v>12</v>
      </c>
      <c r="E519" s="77"/>
    </row>
    <row r="520" spans="1:5" hidden="1">
      <c r="A520" s="25"/>
      <c r="B520" s="51">
        <v>50903</v>
      </c>
      <c r="C520" s="17" t="s">
        <v>141</v>
      </c>
      <c r="D520" s="51" t="s">
        <v>30</v>
      </c>
      <c r="E520" s="77"/>
    </row>
    <row r="521" spans="1:5" hidden="1">
      <c r="A521" s="25"/>
      <c r="B521" s="51">
        <v>50905</v>
      </c>
      <c r="C521" s="17" t="s">
        <v>142</v>
      </c>
      <c r="D521" s="51" t="s">
        <v>30</v>
      </c>
      <c r="E521" s="77"/>
    </row>
    <row r="522" spans="1:5" hidden="1">
      <c r="A522" s="25"/>
      <c r="B522" s="51">
        <v>50907</v>
      </c>
      <c r="C522" s="17" t="s">
        <v>143</v>
      </c>
      <c r="D522" s="51" t="s">
        <v>12</v>
      </c>
      <c r="E522" s="77"/>
    </row>
    <row r="523" spans="1:5" hidden="1">
      <c r="A523" s="25"/>
      <c r="B523" s="51">
        <v>51001</v>
      </c>
      <c r="C523" s="17" t="s">
        <v>144</v>
      </c>
      <c r="D523" s="51" t="s">
        <v>30</v>
      </c>
      <c r="E523" s="77"/>
    </row>
    <row r="524" spans="1:5" hidden="1">
      <c r="A524" s="25"/>
      <c r="B524" s="51">
        <v>51002</v>
      </c>
      <c r="C524" s="17" t="s">
        <v>145</v>
      </c>
      <c r="D524" s="51" t="s">
        <v>30</v>
      </c>
      <c r="E524" s="77"/>
    </row>
    <row r="525" spans="1:5" hidden="1">
      <c r="A525" s="25"/>
      <c r="B525" s="51">
        <v>51009</v>
      </c>
      <c r="C525" s="17" t="s">
        <v>146</v>
      </c>
      <c r="D525" s="51" t="s">
        <v>12</v>
      </c>
      <c r="E525" s="77"/>
    </row>
    <row r="526" spans="1:5" hidden="1">
      <c r="A526" s="25"/>
      <c r="B526" s="51"/>
      <c r="C526" s="159"/>
      <c r="D526" s="160"/>
      <c r="E526" s="161"/>
    </row>
    <row r="527" spans="1:5" hidden="1">
      <c r="A527" s="25"/>
      <c r="B527" s="51"/>
      <c r="C527" s="17"/>
      <c r="D527" s="51"/>
      <c r="E527" s="77"/>
    </row>
    <row r="528" spans="1:5" hidden="1">
      <c r="A528" s="25"/>
      <c r="B528" s="51"/>
      <c r="C528" s="17"/>
      <c r="D528" s="51"/>
      <c r="E528" s="77"/>
    </row>
    <row r="529" spans="1:5" ht="26.4" hidden="1">
      <c r="A529" s="25"/>
      <c r="B529" s="51">
        <v>51015</v>
      </c>
      <c r="C529" s="17" t="s">
        <v>147</v>
      </c>
      <c r="D529" s="51" t="s">
        <v>30</v>
      </c>
      <c r="E529" s="77"/>
    </row>
    <row r="530" spans="1:5" ht="26.4" hidden="1">
      <c r="A530" s="25"/>
      <c r="B530" s="51">
        <v>51017</v>
      </c>
      <c r="C530" s="17" t="s">
        <v>148</v>
      </c>
      <c r="D530" s="51" t="s">
        <v>30</v>
      </c>
      <c r="E530" s="77"/>
    </row>
    <row r="531" spans="1:5" hidden="1">
      <c r="A531" s="25"/>
      <c r="B531" s="51">
        <v>51020</v>
      </c>
      <c r="C531" s="17" t="s">
        <v>149</v>
      </c>
      <c r="D531" s="51" t="s">
        <v>30</v>
      </c>
      <c r="E531" s="77"/>
    </row>
    <row r="532" spans="1:5" ht="26.4" hidden="1">
      <c r="A532" s="25"/>
      <c r="B532" s="51">
        <v>51023</v>
      </c>
      <c r="C532" s="17" t="s">
        <v>150</v>
      </c>
      <c r="D532" s="51" t="s">
        <v>30</v>
      </c>
      <c r="E532" s="77"/>
    </row>
    <row r="533" spans="1:5" ht="26.4" hidden="1">
      <c r="A533" s="25"/>
      <c r="B533" s="51">
        <v>51024</v>
      </c>
      <c r="C533" s="17" t="s">
        <v>151</v>
      </c>
      <c r="D533" s="51" t="s">
        <v>30</v>
      </c>
      <c r="E533" s="77"/>
    </row>
    <row r="534" spans="1:5" ht="26.4" hidden="1">
      <c r="A534" s="25"/>
      <c r="B534" s="51">
        <v>51025</v>
      </c>
      <c r="C534" s="17" t="s">
        <v>152</v>
      </c>
      <c r="D534" s="51" t="s">
        <v>30</v>
      </c>
      <c r="E534" s="77"/>
    </row>
    <row r="535" spans="1:5" ht="26.4" hidden="1">
      <c r="A535" s="25"/>
      <c r="B535" s="51">
        <v>51026</v>
      </c>
      <c r="C535" s="17" t="s">
        <v>153</v>
      </c>
      <c r="D535" s="51" t="s">
        <v>30</v>
      </c>
      <c r="E535" s="77"/>
    </row>
    <row r="536" spans="1:5" hidden="1">
      <c r="A536" s="25"/>
      <c r="B536" s="51">
        <v>51027</v>
      </c>
      <c r="C536" s="17" t="s">
        <v>154</v>
      </c>
      <c r="D536" s="51" t="s">
        <v>30</v>
      </c>
      <c r="E536" s="77"/>
    </row>
    <row r="537" spans="1:5" ht="26.4" hidden="1">
      <c r="A537" s="25"/>
      <c r="B537" s="51">
        <v>51029</v>
      </c>
      <c r="C537" s="17" t="s">
        <v>155</v>
      </c>
      <c r="D537" s="51" t="s">
        <v>30</v>
      </c>
      <c r="E537" s="77"/>
    </row>
    <row r="538" spans="1:5" ht="26.4" hidden="1">
      <c r="A538" s="25"/>
      <c r="B538" s="51">
        <v>51030</v>
      </c>
      <c r="C538" s="17" t="s">
        <v>156</v>
      </c>
      <c r="D538" s="51" t="s">
        <v>30</v>
      </c>
      <c r="E538" s="77"/>
    </row>
    <row r="539" spans="1:5" hidden="1">
      <c r="A539" s="25"/>
      <c r="B539" s="51"/>
      <c r="C539" s="159"/>
      <c r="D539" s="160"/>
      <c r="E539" s="161"/>
    </row>
    <row r="540" spans="1:5" hidden="1">
      <c r="A540" s="25"/>
      <c r="B540" s="51"/>
      <c r="C540" s="17"/>
      <c r="D540" s="51"/>
      <c r="E540" s="77"/>
    </row>
    <row r="541" spans="1:5" ht="26.4" hidden="1">
      <c r="A541" s="25"/>
      <c r="B541" s="51">
        <v>51031</v>
      </c>
      <c r="C541" s="17" t="s">
        <v>157</v>
      </c>
      <c r="D541" s="51" t="s">
        <v>30</v>
      </c>
      <c r="E541" s="77"/>
    </row>
    <row r="542" spans="1:5" ht="26.4" hidden="1">
      <c r="A542" s="25"/>
      <c r="B542" s="51">
        <v>51032</v>
      </c>
      <c r="C542" s="17" t="s">
        <v>158</v>
      </c>
      <c r="D542" s="51" t="s">
        <v>30</v>
      </c>
      <c r="E542" s="77"/>
    </row>
    <row r="543" spans="1:5" ht="26.4" hidden="1">
      <c r="A543" s="25"/>
      <c r="B543" s="51">
        <v>51033</v>
      </c>
      <c r="C543" s="17" t="s">
        <v>159</v>
      </c>
      <c r="D543" s="51" t="s">
        <v>30</v>
      </c>
      <c r="E543" s="77"/>
    </row>
    <row r="544" spans="1:5" hidden="1">
      <c r="A544" s="25"/>
      <c r="B544" s="51">
        <v>51035</v>
      </c>
      <c r="C544" s="17" t="s">
        <v>160</v>
      </c>
      <c r="D544" s="51" t="s">
        <v>30</v>
      </c>
      <c r="E544" s="77"/>
    </row>
    <row r="545" spans="1:5" hidden="1">
      <c r="A545" s="25"/>
      <c r="B545" s="51">
        <v>51036</v>
      </c>
      <c r="C545" s="17" t="s">
        <v>161</v>
      </c>
      <c r="D545" s="51" t="s">
        <v>30</v>
      </c>
      <c r="E545" s="77"/>
    </row>
    <row r="546" spans="1:5" hidden="1">
      <c r="A546" s="25"/>
      <c r="B546" s="51">
        <v>51037</v>
      </c>
      <c r="C546" s="17" t="s">
        <v>162</v>
      </c>
      <c r="D546" s="51" t="s">
        <v>30</v>
      </c>
      <c r="E546" s="77"/>
    </row>
    <row r="547" spans="1:5" hidden="1">
      <c r="A547" s="25"/>
      <c r="B547" s="51">
        <v>51045</v>
      </c>
      <c r="C547" s="17" t="s">
        <v>163</v>
      </c>
      <c r="D547" s="51" t="s">
        <v>30</v>
      </c>
      <c r="E547" s="77"/>
    </row>
    <row r="548" spans="1:5" ht="26.4" hidden="1">
      <c r="A548" s="25"/>
      <c r="B548" s="51">
        <v>51055</v>
      </c>
      <c r="C548" s="17" t="s">
        <v>164</v>
      </c>
      <c r="D548" s="51" t="s">
        <v>30</v>
      </c>
      <c r="E548" s="77"/>
    </row>
    <row r="549" spans="1:5" ht="26.4" hidden="1">
      <c r="A549" s="25"/>
      <c r="B549" s="51">
        <v>51060</v>
      </c>
      <c r="C549" s="17" t="s">
        <v>165</v>
      </c>
      <c r="D549" s="51" t="s">
        <v>30</v>
      </c>
      <c r="E549" s="77"/>
    </row>
    <row r="550" spans="1:5" hidden="1">
      <c r="A550" s="25"/>
      <c r="B550" s="51">
        <v>52002</v>
      </c>
      <c r="C550" s="17" t="s">
        <v>166</v>
      </c>
      <c r="D550" s="51" t="s">
        <v>167</v>
      </c>
      <c r="E550" s="77"/>
    </row>
    <row r="551" spans="1:5" hidden="1">
      <c r="A551" s="25"/>
      <c r="B551" s="51">
        <v>52003</v>
      </c>
      <c r="C551" s="17" t="s">
        <v>168</v>
      </c>
      <c r="D551" s="51" t="s">
        <v>167</v>
      </c>
      <c r="E551" s="77"/>
    </row>
    <row r="552" spans="1:5" hidden="1">
      <c r="A552" s="25"/>
      <c r="B552" s="51">
        <v>52004</v>
      </c>
      <c r="C552" s="17" t="s">
        <v>169</v>
      </c>
      <c r="D552" s="51" t="s">
        <v>167</v>
      </c>
      <c r="E552" s="77"/>
    </row>
    <row r="553" spans="1:5" hidden="1">
      <c r="A553" s="25"/>
      <c r="B553" s="51">
        <v>52005</v>
      </c>
      <c r="C553" s="17" t="s">
        <v>170</v>
      </c>
      <c r="D553" s="51" t="s">
        <v>167</v>
      </c>
      <c r="E553" s="77"/>
    </row>
    <row r="554" spans="1:5" hidden="1">
      <c r="A554" s="25"/>
      <c r="B554" s="51">
        <v>52006</v>
      </c>
      <c r="C554" s="17" t="s">
        <v>171</v>
      </c>
      <c r="D554" s="51" t="s">
        <v>167</v>
      </c>
      <c r="E554" s="77"/>
    </row>
    <row r="555" spans="1:5" hidden="1">
      <c r="A555" s="25"/>
      <c r="B555" s="51">
        <v>52007</v>
      </c>
      <c r="C555" s="17" t="s">
        <v>172</v>
      </c>
      <c r="D555" s="51" t="s">
        <v>167</v>
      </c>
      <c r="E555" s="77"/>
    </row>
    <row r="556" spans="1:5" hidden="1">
      <c r="A556" s="25"/>
      <c r="B556" s="51">
        <v>52008</v>
      </c>
      <c r="C556" s="17" t="s">
        <v>173</v>
      </c>
      <c r="D556" s="51" t="s">
        <v>167</v>
      </c>
      <c r="E556" s="77"/>
    </row>
    <row r="557" spans="1:5" hidden="1">
      <c r="A557" s="25"/>
      <c r="B557" s="51">
        <v>52010</v>
      </c>
      <c r="C557" s="17" t="s">
        <v>174</v>
      </c>
      <c r="D557" s="51" t="s">
        <v>167</v>
      </c>
      <c r="E557" s="77"/>
    </row>
    <row r="558" spans="1:5" hidden="1">
      <c r="A558" s="25"/>
      <c r="B558" s="51">
        <v>52012</v>
      </c>
      <c r="C558" s="17" t="s">
        <v>175</v>
      </c>
      <c r="D558" s="51" t="s">
        <v>167</v>
      </c>
      <c r="E558" s="77"/>
    </row>
    <row r="559" spans="1:5" hidden="1">
      <c r="A559" s="25"/>
      <c r="B559" s="51">
        <v>52014</v>
      </c>
      <c r="C559" s="17" t="s">
        <v>176</v>
      </c>
      <c r="D559" s="51" t="s">
        <v>167</v>
      </c>
      <c r="E559" s="77"/>
    </row>
    <row r="560" spans="1:5">
      <c r="A560" s="32">
        <v>4</v>
      </c>
      <c r="B560" s="55">
        <v>60000</v>
      </c>
      <c r="C560" s="33" t="s">
        <v>177</v>
      </c>
      <c r="D560" s="55"/>
      <c r="E560" s="78"/>
    </row>
    <row r="561" spans="1:5">
      <c r="A561" s="91" t="s">
        <v>2813</v>
      </c>
      <c r="B561" s="56">
        <v>60010</v>
      </c>
      <c r="C561" s="92" t="s">
        <v>178</v>
      </c>
      <c r="D561" s="56" t="s">
        <v>30</v>
      </c>
      <c r="E561" s="74">
        <f>ROUND((E562),2)</f>
        <v>0.03</v>
      </c>
    </row>
    <row r="562" spans="1:5">
      <c r="A562" s="43"/>
      <c r="B562" s="56"/>
      <c r="C562" s="102" t="s">
        <v>3083</v>
      </c>
      <c r="D562" s="99" t="s">
        <v>2894</v>
      </c>
      <c r="E562" s="101">
        <f>0.15*0.1*2.3</f>
        <v>3.4499999999999996E-2</v>
      </c>
    </row>
    <row r="563" spans="1:5">
      <c r="A563" s="25"/>
      <c r="B563" s="51"/>
      <c r="C563" s="17"/>
      <c r="D563" s="51"/>
      <c r="E563" s="73"/>
    </row>
    <row r="564" spans="1:5" hidden="1">
      <c r="A564" s="25"/>
      <c r="B564" s="51"/>
      <c r="C564" s="17"/>
      <c r="D564" s="51"/>
      <c r="E564" s="73"/>
    </row>
    <row r="565" spans="1:5" hidden="1">
      <c r="A565" s="25"/>
      <c r="B565" s="51">
        <v>60103</v>
      </c>
      <c r="C565" s="17" t="s">
        <v>179</v>
      </c>
      <c r="D565" s="51" t="s">
        <v>12</v>
      </c>
      <c r="E565" s="73"/>
    </row>
    <row r="566" spans="1:5">
      <c r="A566" s="231" t="s">
        <v>2814</v>
      </c>
      <c r="B566" s="51">
        <v>60104</v>
      </c>
      <c r="C566" s="17" t="s">
        <v>180</v>
      </c>
      <c r="D566" s="51" t="s">
        <v>39</v>
      </c>
      <c r="E566" s="74">
        <f>ROUND((E567),2)</f>
        <v>3.5</v>
      </c>
    </row>
    <row r="567" spans="1:5">
      <c r="A567" s="150"/>
      <c r="B567" s="160"/>
      <c r="C567" s="159" t="s">
        <v>3289</v>
      </c>
      <c r="D567" s="99" t="s">
        <v>2114</v>
      </c>
      <c r="E567" s="101">
        <v>3.5</v>
      </c>
    </row>
    <row r="568" spans="1:5">
      <c r="A568" s="25"/>
      <c r="B568" s="51"/>
      <c r="C568" s="17"/>
      <c r="D568" s="51"/>
      <c r="E568" s="73"/>
    </row>
    <row r="569" spans="1:5" hidden="1">
      <c r="A569" s="25"/>
      <c r="B569" s="51">
        <v>60105</v>
      </c>
      <c r="C569" s="17" t="s">
        <v>181</v>
      </c>
      <c r="D569" s="51" t="s">
        <v>12</v>
      </c>
      <c r="E569" s="73"/>
    </row>
    <row r="570" spans="1:5" hidden="1">
      <c r="A570" s="25"/>
      <c r="B570" s="51">
        <v>60160</v>
      </c>
      <c r="C570" s="17" t="s">
        <v>182</v>
      </c>
      <c r="D570" s="51" t="s">
        <v>12</v>
      </c>
      <c r="E570" s="73"/>
    </row>
    <row r="571" spans="1:5" ht="26.4" hidden="1">
      <c r="A571" s="25"/>
      <c r="B571" s="51">
        <v>60180</v>
      </c>
      <c r="C571" s="17" t="s">
        <v>183</v>
      </c>
      <c r="D571" s="51" t="s">
        <v>12</v>
      </c>
      <c r="E571" s="73"/>
    </row>
    <row r="572" spans="1:5" hidden="1">
      <c r="A572" s="25"/>
      <c r="B572" s="51">
        <v>60191</v>
      </c>
      <c r="C572" s="17" t="s">
        <v>184</v>
      </c>
      <c r="D572" s="51" t="s">
        <v>12</v>
      </c>
      <c r="E572" s="73"/>
    </row>
    <row r="573" spans="1:5" ht="26.4" hidden="1">
      <c r="A573" s="25"/>
      <c r="B573" s="51">
        <v>60192</v>
      </c>
      <c r="C573" s="17" t="s">
        <v>185</v>
      </c>
      <c r="D573" s="51" t="s">
        <v>12</v>
      </c>
      <c r="E573" s="73"/>
    </row>
    <row r="574" spans="1:5" ht="26.4" hidden="1">
      <c r="A574" s="25"/>
      <c r="B574" s="51">
        <v>60201</v>
      </c>
      <c r="C574" s="17" t="s">
        <v>186</v>
      </c>
      <c r="D574" s="51" t="s">
        <v>12</v>
      </c>
      <c r="E574" s="73"/>
    </row>
    <row r="575" spans="1:5" hidden="1">
      <c r="A575" s="25"/>
      <c r="B575" s="51">
        <v>60202</v>
      </c>
      <c r="C575" s="17" t="s">
        <v>187</v>
      </c>
      <c r="D575" s="51" t="s">
        <v>12</v>
      </c>
      <c r="E575" s="73"/>
    </row>
    <row r="576" spans="1:5" ht="26.4" hidden="1">
      <c r="A576" s="25"/>
      <c r="B576" s="51">
        <v>60203</v>
      </c>
      <c r="C576" s="17" t="s">
        <v>188</v>
      </c>
      <c r="D576" s="51" t="s">
        <v>12</v>
      </c>
      <c r="E576" s="73"/>
    </row>
    <row r="577" spans="1:5" ht="26.4" hidden="1">
      <c r="A577" s="25"/>
      <c r="B577" s="51">
        <v>60204</v>
      </c>
      <c r="C577" s="17" t="s">
        <v>189</v>
      </c>
      <c r="D577" s="51" t="s">
        <v>12</v>
      </c>
      <c r="E577" s="73"/>
    </row>
    <row r="578" spans="1:5" ht="26.4" hidden="1">
      <c r="A578" s="25"/>
      <c r="B578" s="51">
        <v>60205</v>
      </c>
      <c r="C578" s="17" t="s">
        <v>190</v>
      </c>
      <c r="D578" s="51" t="s">
        <v>12</v>
      </c>
      <c r="E578" s="73"/>
    </row>
    <row r="579" spans="1:5" ht="26.4" hidden="1">
      <c r="A579" s="25"/>
      <c r="B579" s="51">
        <v>60206</v>
      </c>
      <c r="C579" s="17" t="s">
        <v>191</v>
      </c>
      <c r="D579" s="51" t="s">
        <v>12</v>
      </c>
      <c r="E579" s="73"/>
    </row>
    <row r="580" spans="1:5" ht="26.4" hidden="1">
      <c r="A580" s="25"/>
      <c r="B580" s="51">
        <v>60207</v>
      </c>
      <c r="C580" s="17" t="s">
        <v>192</v>
      </c>
      <c r="D580" s="51" t="s">
        <v>12</v>
      </c>
      <c r="E580" s="73"/>
    </row>
    <row r="581" spans="1:5" ht="26.4" hidden="1">
      <c r="A581" s="25"/>
      <c r="B581" s="51">
        <v>60208</v>
      </c>
      <c r="C581" s="17" t="s">
        <v>193</v>
      </c>
      <c r="D581" s="51" t="s">
        <v>12</v>
      </c>
      <c r="E581" s="73"/>
    </row>
    <row r="582" spans="1:5" ht="26.4" hidden="1">
      <c r="A582" s="25"/>
      <c r="B582" s="51">
        <v>60209</v>
      </c>
      <c r="C582" s="17" t="s">
        <v>194</v>
      </c>
      <c r="D582" s="51" t="s">
        <v>12</v>
      </c>
      <c r="E582" s="73"/>
    </row>
    <row r="583" spans="1:5" ht="26.4" hidden="1">
      <c r="A583" s="25"/>
      <c r="B583" s="51">
        <v>60210</v>
      </c>
      <c r="C583" s="17" t="s">
        <v>195</v>
      </c>
      <c r="D583" s="51" t="s">
        <v>12</v>
      </c>
      <c r="E583" s="73"/>
    </row>
    <row r="584" spans="1:5" ht="26.4" hidden="1">
      <c r="A584" s="25"/>
      <c r="B584" s="51">
        <v>60212</v>
      </c>
      <c r="C584" s="17" t="s">
        <v>196</v>
      </c>
      <c r="D584" s="51" t="s">
        <v>12</v>
      </c>
      <c r="E584" s="73"/>
    </row>
    <row r="585" spans="1:5" ht="26.4" hidden="1">
      <c r="A585" s="25"/>
      <c r="B585" s="51">
        <v>60213</v>
      </c>
      <c r="C585" s="17" t="s">
        <v>197</v>
      </c>
      <c r="D585" s="51" t="s">
        <v>12</v>
      </c>
      <c r="E585" s="73"/>
    </row>
    <row r="586" spans="1:5" ht="26.4" hidden="1">
      <c r="A586" s="25"/>
      <c r="B586" s="51">
        <v>60214</v>
      </c>
      <c r="C586" s="17" t="s">
        <v>198</v>
      </c>
      <c r="D586" s="51" t="s">
        <v>12</v>
      </c>
      <c r="E586" s="73"/>
    </row>
    <row r="587" spans="1:5" hidden="1">
      <c r="A587" s="25"/>
      <c r="B587" s="51">
        <v>60302</v>
      </c>
      <c r="C587" s="17" t="s">
        <v>166</v>
      </c>
      <c r="D587" s="51" t="s">
        <v>167</v>
      </c>
      <c r="E587" s="73"/>
    </row>
    <row r="588" spans="1:5" hidden="1">
      <c r="A588" s="25"/>
      <c r="B588" s="51">
        <v>60303</v>
      </c>
      <c r="C588" s="17" t="s">
        <v>199</v>
      </c>
      <c r="D588" s="51" t="s">
        <v>167</v>
      </c>
      <c r="E588" s="73"/>
    </row>
    <row r="589" spans="1:5" hidden="1">
      <c r="A589" s="25"/>
      <c r="B589" s="51">
        <v>60304</v>
      </c>
      <c r="C589" s="17" t="s">
        <v>200</v>
      </c>
      <c r="D589" s="51" t="s">
        <v>167</v>
      </c>
      <c r="E589" s="73"/>
    </row>
    <row r="590" spans="1:5" hidden="1">
      <c r="A590" s="25"/>
      <c r="B590" s="51">
        <v>60305</v>
      </c>
      <c r="C590" s="17" t="s">
        <v>170</v>
      </c>
      <c r="D590" s="51" t="s">
        <v>167</v>
      </c>
      <c r="E590" s="73"/>
    </row>
    <row r="591" spans="1:5" hidden="1">
      <c r="A591" s="25"/>
      <c r="B591" s="51">
        <v>60306</v>
      </c>
      <c r="C591" s="17" t="s">
        <v>201</v>
      </c>
      <c r="D591" s="51" t="s">
        <v>167</v>
      </c>
      <c r="E591" s="73"/>
    </row>
    <row r="592" spans="1:5" hidden="1">
      <c r="A592" s="25"/>
      <c r="B592" s="51">
        <v>60307</v>
      </c>
      <c r="C592" s="17" t="s">
        <v>202</v>
      </c>
      <c r="D592" s="51" t="s">
        <v>167</v>
      </c>
      <c r="E592" s="73"/>
    </row>
    <row r="593" spans="1:5" hidden="1">
      <c r="A593" s="25"/>
      <c r="B593" s="51">
        <v>60308</v>
      </c>
      <c r="C593" s="17" t="s">
        <v>203</v>
      </c>
      <c r="D593" s="51" t="s">
        <v>167</v>
      </c>
      <c r="E593" s="73"/>
    </row>
    <row r="594" spans="1:5" hidden="1">
      <c r="A594" s="25"/>
      <c r="B594" s="51">
        <v>60310</v>
      </c>
      <c r="C594" s="17" t="s">
        <v>174</v>
      </c>
      <c r="D594" s="51" t="s">
        <v>167</v>
      </c>
      <c r="E594" s="73"/>
    </row>
    <row r="595" spans="1:5" hidden="1">
      <c r="A595" s="25"/>
      <c r="B595" s="51">
        <v>60312</v>
      </c>
      <c r="C595" s="17" t="s">
        <v>204</v>
      </c>
      <c r="D595" s="51" t="s">
        <v>167</v>
      </c>
      <c r="E595" s="73"/>
    </row>
    <row r="596" spans="1:5" hidden="1">
      <c r="A596" s="25"/>
      <c r="B596" s="51">
        <v>60314</v>
      </c>
      <c r="C596" s="17" t="s">
        <v>205</v>
      </c>
      <c r="D596" s="51" t="s">
        <v>167</v>
      </c>
      <c r="E596" s="73"/>
    </row>
    <row r="597" spans="1:5" hidden="1">
      <c r="A597" s="25"/>
      <c r="B597" s="51">
        <v>60470</v>
      </c>
      <c r="C597" s="17" t="s">
        <v>206</v>
      </c>
      <c r="D597" s="51" t="s">
        <v>30</v>
      </c>
      <c r="E597" s="73"/>
    </row>
    <row r="598" spans="1:5" hidden="1">
      <c r="A598" s="25"/>
      <c r="B598" s="51">
        <v>60486</v>
      </c>
      <c r="C598" s="17" t="s">
        <v>133</v>
      </c>
      <c r="D598" s="51" t="s">
        <v>2930</v>
      </c>
      <c r="E598" s="73"/>
    </row>
    <row r="599" spans="1:5" hidden="1">
      <c r="A599" s="25"/>
      <c r="B599" s="51">
        <v>60487</v>
      </c>
      <c r="C599" s="17" t="s">
        <v>134</v>
      </c>
      <c r="D599" s="51" t="s">
        <v>2930</v>
      </c>
      <c r="E599" s="73"/>
    </row>
    <row r="600" spans="1:5" ht="26.4" hidden="1">
      <c r="A600" s="25"/>
      <c r="B600" s="51">
        <v>60505</v>
      </c>
      <c r="C600" s="17" t="s">
        <v>207</v>
      </c>
      <c r="D600" s="51" t="s">
        <v>30</v>
      </c>
      <c r="E600" s="73"/>
    </row>
    <row r="601" spans="1:5" ht="26.4" hidden="1">
      <c r="A601" s="25"/>
      <c r="B601" s="51">
        <v>60507</v>
      </c>
      <c r="C601" s="17" t="s">
        <v>208</v>
      </c>
      <c r="D601" s="51" t="s">
        <v>30</v>
      </c>
      <c r="E601" s="73"/>
    </row>
    <row r="602" spans="1:5" hidden="1">
      <c r="A602" s="25"/>
      <c r="B602" s="51">
        <v>60510</v>
      </c>
      <c r="C602" s="17" t="s">
        <v>209</v>
      </c>
      <c r="D602" s="51" t="s">
        <v>30</v>
      </c>
      <c r="E602" s="73"/>
    </row>
    <row r="603" spans="1:5" ht="26.4" hidden="1">
      <c r="A603" s="25"/>
      <c r="B603" s="51">
        <v>60512</v>
      </c>
      <c r="C603" s="17" t="s">
        <v>210</v>
      </c>
      <c r="D603" s="51" t="s">
        <v>30</v>
      </c>
      <c r="E603" s="73"/>
    </row>
    <row r="604" spans="1:5" ht="26.4" hidden="1">
      <c r="A604" s="25"/>
      <c r="B604" s="51">
        <v>60513</v>
      </c>
      <c r="C604" s="17" t="s">
        <v>152</v>
      </c>
      <c r="D604" s="51" t="s">
        <v>30</v>
      </c>
      <c r="E604" s="73"/>
    </row>
    <row r="605" spans="1:5" ht="26.4" hidden="1">
      <c r="A605" s="25"/>
      <c r="B605" s="51">
        <v>60514</v>
      </c>
      <c r="C605" s="17" t="s">
        <v>211</v>
      </c>
      <c r="D605" s="51" t="s">
        <v>30</v>
      </c>
      <c r="E605" s="73"/>
    </row>
    <row r="606" spans="1:5" ht="26.4" hidden="1">
      <c r="A606" s="25"/>
      <c r="B606" s="51">
        <v>60515</v>
      </c>
      <c r="C606" s="17" t="s">
        <v>212</v>
      </c>
      <c r="D606" s="51" t="s">
        <v>30</v>
      </c>
      <c r="E606" s="73"/>
    </row>
    <row r="607" spans="1:5" ht="26.4" hidden="1">
      <c r="A607" s="25"/>
      <c r="B607" s="51">
        <v>60517</v>
      </c>
      <c r="C607" s="17" t="s">
        <v>213</v>
      </c>
      <c r="D607" s="51" t="s">
        <v>30</v>
      </c>
      <c r="E607" s="73"/>
    </row>
    <row r="608" spans="1:5" ht="26.4" hidden="1">
      <c r="A608" s="25"/>
      <c r="B608" s="51">
        <v>60518</v>
      </c>
      <c r="C608" s="17" t="s">
        <v>155</v>
      </c>
      <c r="D608" s="51" t="s">
        <v>30</v>
      </c>
      <c r="E608" s="73"/>
    </row>
    <row r="609" spans="1:5" ht="26.4" hidden="1">
      <c r="A609" s="25"/>
      <c r="B609" s="51">
        <v>60520</v>
      </c>
      <c r="C609" s="17" t="s">
        <v>214</v>
      </c>
      <c r="D609" s="51" t="s">
        <v>30</v>
      </c>
      <c r="E609" s="73"/>
    </row>
    <row r="610" spans="1:5" ht="26.4" hidden="1">
      <c r="A610" s="25"/>
      <c r="B610" s="51">
        <v>60521</v>
      </c>
      <c r="C610" s="17" t="s">
        <v>215</v>
      </c>
      <c r="D610" s="51" t="s">
        <v>30</v>
      </c>
      <c r="E610" s="73"/>
    </row>
    <row r="611" spans="1:5" hidden="1">
      <c r="A611" s="25"/>
      <c r="B611" s="51">
        <v>60523</v>
      </c>
      <c r="C611" s="17" t="s">
        <v>160</v>
      </c>
      <c r="D611" s="51" t="s">
        <v>30</v>
      </c>
      <c r="E611" s="73"/>
    </row>
    <row r="612" spans="1:5" hidden="1">
      <c r="A612" s="25"/>
      <c r="B612" s="51">
        <v>60524</v>
      </c>
      <c r="C612" s="17" t="s">
        <v>161</v>
      </c>
      <c r="D612" s="51" t="s">
        <v>30</v>
      </c>
      <c r="E612" s="73"/>
    </row>
    <row r="613" spans="1:5" hidden="1">
      <c r="A613" s="25"/>
      <c r="B613" s="51">
        <v>60525</v>
      </c>
      <c r="C613" s="17" t="s">
        <v>162</v>
      </c>
      <c r="D613" s="51" t="s">
        <v>30</v>
      </c>
      <c r="E613" s="73"/>
    </row>
    <row r="614" spans="1:5" ht="26.4" hidden="1">
      <c r="A614" s="25"/>
      <c r="B614" s="51">
        <v>60800</v>
      </c>
      <c r="C614" s="17" t="s">
        <v>216</v>
      </c>
      <c r="D614" s="51" t="s">
        <v>30</v>
      </c>
      <c r="E614" s="73"/>
    </row>
    <row r="615" spans="1:5" ht="26.4" hidden="1">
      <c r="A615" s="25"/>
      <c r="B615" s="51">
        <v>60801</v>
      </c>
      <c r="C615" s="17" t="s">
        <v>217</v>
      </c>
      <c r="D615" s="51" t="s">
        <v>30</v>
      </c>
      <c r="E615" s="73"/>
    </row>
    <row r="616" spans="1:5" ht="26.4" hidden="1">
      <c r="A616" s="25"/>
      <c r="B616" s="51">
        <v>60802</v>
      </c>
      <c r="C616" s="17" t="s">
        <v>218</v>
      </c>
      <c r="D616" s="51" t="s">
        <v>30</v>
      </c>
      <c r="E616" s="73"/>
    </row>
    <row r="617" spans="1:5" hidden="1">
      <c r="A617" s="25"/>
      <c r="B617" s="51">
        <v>60803</v>
      </c>
      <c r="C617" s="17" t="s">
        <v>219</v>
      </c>
      <c r="D617" s="51" t="s">
        <v>30</v>
      </c>
      <c r="E617" s="73"/>
    </row>
    <row r="618" spans="1:5" ht="39.6" hidden="1">
      <c r="A618" s="25"/>
      <c r="B618" s="51">
        <v>61101</v>
      </c>
      <c r="C618" s="17" t="s">
        <v>220</v>
      </c>
      <c r="D618" s="51" t="s">
        <v>12</v>
      </c>
      <c r="E618" s="73"/>
    </row>
    <row r="619" spans="1:5" ht="26.4" hidden="1">
      <c r="A619" s="25"/>
      <c r="B619" s="51">
        <v>61102</v>
      </c>
      <c r="C619" s="17" t="s">
        <v>221</v>
      </c>
      <c r="D619" s="51" t="s">
        <v>12</v>
      </c>
      <c r="E619" s="73"/>
    </row>
    <row r="620" spans="1:5" ht="26.4" hidden="1">
      <c r="A620" s="25"/>
      <c r="B620" s="51">
        <v>61106</v>
      </c>
      <c r="C620" s="17" t="s">
        <v>222</v>
      </c>
      <c r="D620" s="51" t="s">
        <v>12</v>
      </c>
      <c r="E620" s="73"/>
    </row>
    <row r="621" spans="1:5" ht="26.4" hidden="1">
      <c r="A621" s="25"/>
      <c r="B621" s="51">
        <v>61107</v>
      </c>
      <c r="C621" s="17" t="s">
        <v>223</v>
      </c>
      <c r="D621" s="51" t="s">
        <v>12</v>
      </c>
      <c r="E621" s="73"/>
    </row>
    <row r="622" spans="1:5" ht="26.4" hidden="1">
      <c r="A622" s="25"/>
      <c r="B622" s="51">
        <v>61108</v>
      </c>
      <c r="C622" s="17" t="s">
        <v>224</v>
      </c>
      <c r="D622" s="51" t="s">
        <v>12</v>
      </c>
      <c r="E622" s="73"/>
    </row>
    <row r="623" spans="1:5" ht="23.4" customHeight="1">
      <c r="A623" s="28"/>
      <c r="B623" s="55">
        <v>67000</v>
      </c>
      <c r="C623" s="29" t="s">
        <v>2890</v>
      </c>
      <c r="D623" s="54" t="s">
        <v>226</v>
      </c>
      <c r="E623" s="76"/>
    </row>
    <row r="624" spans="1:5" ht="26.4" hidden="1">
      <c r="A624" s="34"/>
      <c r="B624" s="51">
        <v>67002</v>
      </c>
      <c r="C624" s="17" t="s">
        <v>227</v>
      </c>
      <c r="D624" s="51" t="s">
        <v>39</v>
      </c>
      <c r="E624" s="73"/>
    </row>
    <row r="625" spans="1:5" ht="26.4" hidden="1">
      <c r="A625" s="34"/>
      <c r="B625" s="51">
        <v>67006</v>
      </c>
      <c r="C625" s="17" t="s">
        <v>228</v>
      </c>
      <c r="D625" s="51" t="s">
        <v>12</v>
      </c>
      <c r="E625" s="73"/>
    </row>
    <row r="626" spans="1:5" ht="26.4" hidden="1">
      <c r="A626" s="34"/>
      <c r="B626" s="51">
        <v>67010</v>
      </c>
      <c r="C626" s="17" t="s">
        <v>229</v>
      </c>
      <c r="D626" s="51" t="s">
        <v>30</v>
      </c>
      <c r="E626" s="73"/>
    </row>
    <row r="627" spans="1:5" ht="26.4" hidden="1">
      <c r="A627" s="34"/>
      <c r="B627" s="51">
        <v>67014</v>
      </c>
      <c r="C627" s="17" t="s">
        <v>230</v>
      </c>
      <c r="D627" s="51" t="s">
        <v>12</v>
      </c>
      <c r="E627" s="73"/>
    </row>
    <row r="628" spans="1:5" hidden="1">
      <c r="A628" s="34"/>
      <c r="B628" s="51">
        <v>67016</v>
      </c>
      <c r="C628" s="17" t="s">
        <v>231</v>
      </c>
      <c r="D628" s="51" t="s">
        <v>12</v>
      </c>
      <c r="E628" s="73"/>
    </row>
    <row r="629" spans="1:5" hidden="1">
      <c r="A629" s="34"/>
      <c r="B629" s="51">
        <v>67018</v>
      </c>
      <c r="C629" s="17" t="s">
        <v>232</v>
      </c>
      <c r="D629" s="51" t="s">
        <v>12</v>
      </c>
      <c r="E629" s="73"/>
    </row>
    <row r="630" spans="1:5" hidden="1">
      <c r="A630" s="34"/>
      <c r="B630" s="51">
        <v>67022</v>
      </c>
      <c r="C630" s="17" t="s">
        <v>233</v>
      </c>
      <c r="D630" s="51" t="s">
        <v>12</v>
      </c>
      <c r="E630" s="73"/>
    </row>
    <row r="631" spans="1:5" ht="26.4" hidden="1">
      <c r="A631" s="34"/>
      <c r="B631" s="51">
        <v>67026</v>
      </c>
      <c r="C631" s="17" t="s">
        <v>234</v>
      </c>
      <c r="D631" s="51" t="s">
        <v>12</v>
      </c>
      <c r="E631" s="73"/>
    </row>
    <row r="632" spans="1:5" ht="39.6" hidden="1">
      <c r="A632" s="34"/>
      <c r="B632" s="51">
        <v>67058</v>
      </c>
      <c r="C632" s="17" t="s">
        <v>235</v>
      </c>
      <c r="D632" s="51" t="s">
        <v>12</v>
      </c>
      <c r="E632" s="73"/>
    </row>
    <row r="633" spans="1:5" ht="39.6" hidden="1">
      <c r="A633" s="34"/>
      <c r="B633" s="51">
        <v>67062</v>
      </c>
      <c r="C633" s="17" t="s">
        <v>236</v>
      </c>
      <c r="D633" s="51" t="s">
        <v>30</v>
      </c>
      <c r="E633" s="73"/>
    </row>
    <row r="634" spans="1:5" hidden="1">
      <c r="A634" s="34"/>
      <c r="B634" s="51">
        <v>67070</v>
      </c>
      <c r="C634" s="17" t="s">
        <v>237</v>
      </c>
      <c r="D634" s="51" t="s">
        <v>12</v>
      </c>
      <c r="E634" s="73"/>
    </row>
    <row r="635" spans="1:5" ht="39.6" hidden="1">
      <c r="A635" s="34"/>
      <c r="B635" s="51">
        <v>67078</v>
      </c>
      <c r="C635" s="17" t="s">
        <v>238</v>
      </c>
      <c r="D635" s="51" t="s">
        <v>12</v>
      </c>
      <c r="E635" s="73"/>
    </row>
    <row r="636" spans="1:5" ht="52.8" hidden="1">
      <c r="A636" s="34"/>
      <c r="B636" s="51">
        <v>67082</v>
      </c>
      <c r="C636" s="17" t="s">
        <v>239</v>
      </c>
      <c r="D636" s="51" t="s">
        <v>12</v>
      </c>
      <c r="E636" s="73"/>
    </row>
    <row r="637" spans="1:5">
      <c r="A637" s="28">
        <v>5</v>
      </c>
      <c r="B637" s="55">
        <v>70000</v>
      </c>
      <c r="C637" s="29" t="s">
        <v>240</v>
      </c>
      <c r="D637" s="54"/>
      <c r="E637" s="76"/>
    </row>
    <row r="638" spans="1:5" hidden="1">
      <c r="A638" s="43"/>
      <c r="B638" s="56">
        <v>70204</v>
      </c>
      <c r="C638" s="92" t="s">
        <v>241</v>
      </c>
      <c r="D638" s="56" t="s">
        <v>2930</v>
      </c>
      <c r="E638" s="84"/>
    </row>
    <row r="639" spans="1:5" hidden="1">
      <c r="A639" s="43"/>
      <c r="B639" s="56">
        <v>70207</v>
      </c>
      <c r="C639" s="92" t="s">
        <v>242</v>
      </c>
      <c r="D639" s="56" t="s">
        <v>2930</v>
      </c>
      <c r="E639" s="84"/>
    </row>
    <row r="640" spans="1:5" hidden="1">
      <c r="A640" s="43"/>
      <c r="B640" s="56">
        <v>70211</v>
      </c>
      <c r="C640" s="92" t="s">
        <v>243</v>
      </c>
      <c r="D640" s="56" t="s">
        <v>2930</v>
      </c>
      <c r="E640" s="84"/>
    </row>
    <row r="641" spans="1:6" hidden="1">
      <c r="A641" s="43"/>
      <c r="B641" s="56">
        <v>70218</v>
      </c>
      <c r="C641" s="92" t="s">
        <v>244</v>
      </c>
      <c r="D641" s="56" t="s">
        <v>136</v>
      </c>
      <c r="E641" s="84"/>
    </row>
    <row r="642" spans="1:6" hidden="1">
      <c r="A642" s="43"/>
      <c r="B642" s="56">
        <v>70229</v>
      </c>
      <c r="C642" s="92" t="s">
        <v>245</v>
      </c>
      <c r="D642" s="56" t="s">
        <v>167</v>
      </c>
      <c r="E642" s="84"/>
    </row>
    <row r="643" spans="1:6" hidden="1">
      <c r="A643" s="43"/>
      <c r="B643" s="56">
        <v>70230</v>
      </c>
      <c r="C643" s="92" t="s">
        <v>246</v>
      </c>
      <c r="D643" s="56" t="s">
        <v>2930</v>
      </c>
      <c r="E643" s="84"/>
    </row>
    <row r="644" spans="1:6" hidden="1">
      <c r="A644" s="43"/>
      <c r="B644" s="56">
        <v>70231</v>
      </c>
      <c r="C644" s="92" t="s">
        <v>247</v>
      </c>
      <c r="D644" s="56" t="s">
        <v>2930</v>
      </c>
      <c r="E644" s="84"/>
    </row>
    <row r="645" spans="1:6" hidden="1">
      <c r="A645" s="43"/>
      <c r="B645" s="56">
        <v>70232</v>
      </c>
      <c r="C645" s="92" t="s">
        <v>248</v>
      </c>
      <c r="D645" s="56" t="s">
        <v>2930</v>
      </c>
      <c r="E645" s="84"/>
    </row>
    <row r="646" spans="1:6" hidden="1">
      <c r="A646" s="43"/>
      <c r="B646" s="56">
        <v>70233</v>
      </c>
      <c r="C646" s="92" t="s">
        <v>249</v>
      </c>
      <c r="D646" s="56" t="s">
        <v>2930</v>
      </c>
      <c r="E646" s="84"/>
    </row>
    <row r="647" spans="1:6" hidden="1">
      <c r="A647" s="43"/>
      <c r="B647" s="56">
        <v>70240</v>
      </c>
      <c r="C647" s="92" t="s">
        <v>250</v>
      </c>
      <c r="D647" s="56" t="s">
        <v>2930</v>
      </c>
      <c r="E647" s="84"/>
    </row>
    <row r="648" spans="1:6" hidden="1">
      <c r="A648" s="43"/>
      <c r="B648" s="56">
        <v>70241</v>
      </c>
      <c r="C648" s="92" t="s">
        <v>251</v>
      </c>
      <c r="D648" s="56" t="s">
        <v>2930</v>
      </c>
      <c r="E648" s="84"/>
    </row>
    <row r="649" spans="1:6" hidden="1">
      <c r="A649" s="43"/>
      <c r="B649" s="56">
        <v>70242</v>
      </c>
      <c r="C649" s="92" t="s">
        <v>252</v>
      </c>
      <c r="D649" s="56" t="s">
        <v>2930</v>
      </c>
      <c r="E649" s="84"/>
    </row>
    <row r="650" spans="1:6" hidden="1">
      <c r="A650" s="43"/>
      <c r="B650" s="56">
        <v>70243</v>
      </c>
      <c r="C650" s="92" t="s">
        <v>253</v>
      </c>
      <c r="D650" s="56" t="s">
        <v>2930</v>
      </c>
      <c r="E650" s="84"/>
    </row>
    <row r="651" spans="1:6" hidden="1">
      <c r="A651" s="43"/>
      <c r="B651" s="56">
        <v>70250</v>
      </c>
      <c r="C651" s="92" t="s">
        <v>254</v>
      </c>
      <c r="D651" s="56" t="s">
        <v>2930</v>
      </c>
      <c r="E651" s="84"/>
    </row>
    <row r="652" spans="1:6">
      <c r="A652" s="91" t="s">
        <v>3612</v>
      </c>
      <c r="B652" s="56">
        <v>70251</v>
      </c>
      <c r="C652" s="92" t="s">
        <v>255</v>
      </c>
      <c r="D652" s="56" t="s">
        <v>2930</v>
      </c>
      <c r="E652" s="84">
        <f>ROUND(SUM(E653:E654),2)</f>
        <v>1686</v>
      </c>
    </row>
    <row r="653" spans="1:6" s="47" customFormat="1" ht="22.8">
      <c r="A653" s="93"/>
      <c r="B653" s="99"/>
      <c r="C653" s="102" t="s">
        <v>2941</v>
      </c>
      <c r="D653" s="99" t="s">
        <v>2930</v>
      </c>
      <c r="E653" s="113">
        <v>848</v>
      </c>
      <c r="F653" s="163"/>
    </row>
    <row r="654" spans="1:6" s="47" customFormat="1" ht="22.8">
      <c r="A654" s="93"/>
      <c r="B654" s="99"/>
      <c r="C654" s="102" t="s">
        <v>2942</v>
      </c>
      <c r="D654" s="99" t="s">
        <v>2930</v>
      </c>
      <c r="E654" s="113">
        <v>838</v>
      </c>
      <c r="F654" s="163"/>
    </row>
    <row r="655" spans="1:6">
      <c r="A655" s="43"/>
      <c r="B655" s="56"/>
      <c r="C655" s="92"/>
      <c r="D655" s="56"/>
      <c r="E655" s="84"/>
    </row>
    <row r="656" spans="1:6" hidden="1">
      <c r="A656" s="43"/>
      <c r="B656" s="56">
        <v>70252</v>
      </c>
      <c r="C656" s="92" t="s">
        <v>256</v>
      </c>
      <c r="D656" s="56" t="s">
        <v>2930</v>
      </c>
      <c r="E656" s="84"/>
    </row>
    <row r="657" spans="1:6" hidden="1">
      <c r="A657" s="43"/>
      <c r="B657" s="56">
        <v>70253</v>
      </c>
      <c r="C657" s="92" t="s">
        <v>257</v>
      </c>
      <c r="D657" s="56" t="s">
        <v>2930</v>
      </c>
      <c r="E657" s="84"/>
    </row>
    <row r="658" spans="1:6" hidden="1">
      <c r="A658" s="43"/>
      <c r="B658" s="56">
        <v>70254</v>
      </c>
      <c r="C658" s="92" t="s">
        <v>258</v>
      </c>
      <c r="D658" s="56" t="s">
        <v>2930</v>
      </c>
      <c r="E658" s="84"/>
    </row>
    <row r="659" spans="1:6">
      <c r="A659" s="91" t="s">
        <v>2820</v>
      </c>
      <c r="B659" s="56">
        <v>70255</v>
      </c>
      <c r="C659" s="92" t="s">
        <v>259</v>
      </c>
      <c r="D659" s="56" t="s">
        <v>2930</v>
      </c>
      <c r="E659" s="84">
        <f>ROUND(E660,2)</f>
        <v>1</v>
      </c>
    </row>
    <row r="660" spans="1:6" s="47" customFormat="1" ht="22.8">
      <c r="A660" s="93"/>
      <c r="B660" s="99"/>
      <c r="C660" s="102" t="s">
        <v>2485</v>
      </c>
      <c r="D660" s="99" t="s">
        <v>2930</v>
      </c>
      <c r="E660" s="113">
        <v>1</v>
      </c>
      <c r="F660" s="163"/>
    </row>
    <row r="661" spans="1:6">
      <c r="A661" s="43"/>
      <c r="B661" s="56"/>
      <c r="C661" s="92"/>
      <c r="D661" s="56"/>
      <c r="E661" s="84"/>
    </row>
    <row r="662" spans="1:6" hidden="1">
      <c r="A662" s="43"/>
      <c r="B662" s="56">
        <v>70256</v>
      </c>
      <c r="C662" s="92" t="s">
        <v>260</v>
      </c>
      <c r="D662" s="56" t="s">
        <v>2930</v>
      </c>
      <c r="E662" s="84"/>
    </row>
    <row r="663" spans="1:6" hidden="1">
      <c r="A663" s="43"/>
      <c r="B663" s="56">
        <v>70257</v>
      </c>
      <c r="C663" s="92" t="s">
        <v>261</v>
      </c>
      <c r="D663" s="56" t="s">
        <v>2930</v>
      </c>
      <c r="E663" s="84"/>
    </row>
    <row r="664" spans="1:6" hidden="1">
      <c r="A664" s="43"/>
      <c r="B664" s="56">
        <v>70260</v>
      </c>
      <c r="C664" s="92" t="s">
        <v>262</v>
      </c>
      <c r="D664" s="56" t="s">
        <v>39</v>
      </c>
      <c r="E664" s="84"/>
    </row>
    <row r="665" spans="1:6" hidden="1">
      <c r="A665" s="43"/>
      <c r="B665" s="56">
        <v>70261</v>
      </c>
      <c r="C665" s="92" t="s">
        <v>263</v>
      </c>
      <c r="D665" s="56" t="s">
        <v>39</v>
      </c>
      <c r="E665" s="84"/>
    </row>
    <row r="666" spans="1:6" hidden="1">
      <c r="A666" s="43"/>
      <c r="B666" s="56">
        <v>70262</v>
      </c>
      <c r="C666" s="92" t="s">
        <v>264</v>
      </c>
      <c r="D666" s="56" t="s">
        <v>39</v>
      </c>
      <c r="E666" s="84"/>
    </row>
    <row r="667" spans="1:6" hidden="1">
      <c r="A667" s="43"/>
      <c r="B667" s="56">
        <v>70263</v>
      </c>
      <c r="C667" s="92" t="s">
        <v>265</v>
      </c>
      <c r="D667" s="56" t="s">
        <v>39</v>
      </c>
      <c r="E667" s="84"/>
    </row>
    <row r="668" spans="1:6" hidden="1">
      <c r="A668" s="43"/>
      <c r="B668" s="56">
        <v>70265</v>
      </c>
      <c r="C668" s="92" t="s">
        <v>266</v>
      </c>
      <c r="D668" s="56" t="s">
        <v>39</v>
      </c>
      <c r="E668" s="84"/>
    </row>
    <row r="669" spans="1:6" hidden="1">
      <c r="A669" s="43"/>
      <c r="B669" s="56">
        <v>70266</v>
      </c>
      <c r="C669" s="92" t="s">
        <v>267</v>
      </c>
      <c r="D669" s="56" t="s">
        <v>39</v>
      </c>
      <c r="E669" s="84"/>
    </row>
    <row r="670" spans="1:6" hidden="1">
      <c r="A670" s="43"/>
      <c r="B670" s="56">
        <v>70267</v>
      </c>
      <c r="C670" s="92" t="s">
        <v>268</v>
      </c>
      <c r="D670" s="56" t="s">
        <v>39</v>
      </c>
      <c r="E670" s="84"/>
    </row>
    <row r="671" spans="1:6" hidden="1">
      <c r="A671" s="43"/>
      <c r="B671" s="56">
        <v>70268</v>
      </c>
      <c r="C671" s="92" t="s">
        <v>269</v>
      </c>
      <c r="D671" s="56" t="s">
        <v>39</v>
      </c>
      <c r="E671" s="84"/>
    </row>
    <row r="672" spans="1:6" hidden="1">
      <c r="A672" s="43"/>
      <c r="B672" s="56">
        <v>70269</v>
      </c>
      <c r="C672" s="92" t="s">
        <v>270</v>
      </c>
      <c r="D672" s="56" t="s">
        <v>39</v>
      </c>
      <c r="E672" s="84"/>
    </row>
    <row r="673" spans="1:5" hidden="1">
      <c r="A673" s="43"/>
      <c r="B673" s="56">
        <v>70270</v>
      </c>
      <c r="C673" s="92" t="s">
        <v>271</v>
      </c>
      <c r="D673" s="56" t="s">
        <v>39</v>
      </c>
      <c r="E673" s="84"/>
    </row>
    <row r="674" spans="1:5" hidden="1">
      <c r="A674" s="43"/>
      <c r="B674" s="56">
        <v>70271</v>
      </c>
      <c r="C674" s="92" t="s">
        <v>272</v>
      </c>
      <c r="D674" s="56" t="s">
        <v>39</v>
      </c>
      <c r="E674" s="84"/>
    </row>
    <row r="675" spans="1:5" hidden="1">
      <c r="A675" s="43"/>
      <c r="B675" s="56">
        <v>70282</v>
      </c>
      <c r="C675" s="92" t="s">
        <v>273</v>
      </c>
      <c r="D675" s="56" t="s">
        <v>2930</v>
      </c>
      <c r="E675" s="84"/>
    </row>
    <row r="676" spans="1:5" hidden="1">
      <c r="A676" s="43"/>
      <c r="B676" s="56">
        <v>70283</v>
      </c>
      <c r="C676" s="92" t="s">
        <v>274</v>
      </c>
      <c r="D676" s="56" t="s">
        <v>2930</v>
      </c>
      <c r="E676" s="84"/>
    </row>
    <row r="677" spans="1:5" hidden="1">
      <c r="A677" s="43"/>
      <c r="B677" s="56">
        <v>70284</v>
      </c>
      <c r="C677" s="92" t="s">
        <v>275</v>
      </c>
      <c r="D677" s="56" t="s">
        <v>2930</v>
      </c>
      <c r="E677" s="84"/>
    </row>
    <row r="678" spans="1:5" hidden="1">
      <c r="A678" s="43"/>
      <c r="B678" s="56">
        <v>70285</v>
      </c>
      <c r="C678" s="92" t="s">
        <v>276</v>
      </c>
      <c r="D678" s="56" t="s">
        <v>2930</v>
      </c>
      <c r="E678" s="84"/>
    </row>
    <row r="679" spans="1:5" hidden="1">
      <c r="A679" s="43"/>
      <c r="B679" s="56">
        <v>70286</v>
      </c>
      <c r="C679" s="92" t="s">
        <v>277</v>
      </c>
      <c r="D679" s="56" t="s">
        <v>2930</v>
      </c>
      <c r="E679" s="84"/>
    </row>
    <row r="680" spans="1:5" hidden="1">
      <c r="A680" s="43"/>
      <c r="B680" s="56">
        <v>70287</v>
      </c>
      <c r="C680" s="92" t="s">
        <v>278</v>
      </c>
      <c r="D680" s="56" t="s">
        <v>2930</v>
      </c>
      <c r="E680" s="84"/>
    </row>
    <row r="681" spans="1:5" hidden="1">
      <c r="A681" s="43"/>
      <c r="B681" s="56">
        <v>70288</v>
      </c>
      <c r="C681" s="92" t="s">
        <v>279</v>
      </c>
      <c r="D681" s="56" t="s">
        <v>2930</v>
      </c>
      <c r="E681" s="84"/>
    </row>
    <row r="682" spans="1:5" hidden="1">
      <c r="A682" s="43"/>
      <c r="B682" s="56">
        <v>70289</v>
      </c>
      <c r="C682" s="92" t="s">
        <v>280</v>
      </c>
      <c r="D682" s="56" t="s">
        <v>2930</v>
      </c>
      <c r="E682" s="84"/>
    </row>
    <row r="683" spans="1:5" hidden="1">
      <c r="A683" s="43"/>
      <c r="B683" s="56">
        <v>70290</v>
      </c>
      <c r="C683" s="92" t="s">
        <v>281</v>
      </c>
      <c r="D683" s="56" t="s">
        <v>2930</v>
      </c>
      <c r="E683" s="84"/>
    </row>
    <row r="684" spans="1:5" hidden="1">
      <c r="A684" s="43"/>
      <c r="B684" s="56">
        <v>70291</v>
      </c>
      <c r="C684" s="92" t="s">
        <v>282</v>
      </c>
      <c r="D684" s="56" t="s">
        <v>2930</v>
      </c>
      <c r="E684" s="84"/>
    </row>
    <row r="685" spans="1:5" hidden="1">
      <c r="A685" s="43"/>
      <c r="B685" s="56">
        <v>70292</v>
      </c>
      <c r="C685" s="92" t="s">
        <v>283</v>
      </c>
      <c r="D685" s="56" t="s">
        <v>2930</v>
      </c>
      <c r="E685" s="84"/>
    </row>
    <row r="686" spans="1:5" hidden="1">
      <c r="A686" s="43"/>
      <c r="B686" s="56">
        <v>70293</v>
      </c>
      <c r="C686" s="92" t="s">
        <v>284</v>
      </c>
      <c r="D686" s="56" t="s">
        <v>2930</v>
      </c>
      <c r="E686" s="84"/>
    </row>
    <row r="687" spans="1:5" hidden="1">
      <c r="A687" s="43"/>
      <c r="B687" s="56">
        <v>70295</v>
      </c>
      <c r="C687" s="92" t="s">
        <v>285</v>
      </c>
      <c r="D687" s="56" t="s">
        <v>2930</v>
      </c>
      <c r="E687" s="84"/>
    </row>
    <row r="688" spans="1:5" hidden="1">
      <c r="A688" s="43"/>
      <c r="B688" s="56">
        <v>70296</v>
      </c>
      <c r="C688" s="92" t="s">
        <v>286</v>
      </c>
      <c r="D688" s="56" t="s">
        <v>2930</v>
      </c>
      <c r="E688" s="84"/>
    </row>
    <row r="689" spans="1:5" hidden="1">
      <c r="A689" s="43"/>
      <c r="B689" s="56">
        <v>70297</v>
      </c>
      <c r="C689" s="92" t="s">
        <v>287</v>
      </c>
      <c r="D689" s="56" t="s">
        <v>2930</v>
      </c>
      <c r="E689" s="84"/>
    </row>
    <row r="690" spans="1:5" hidden="1">
      <c r="A690" s="43"/>
      <c r="B690" s="56">
        <v>70303</v>
      </c>
      <c r="C690" s="92" t="s">
        <v>288</v>
      </c>
      <c r="D690" s="56" t="s">
        <v>2930</v>
      </c>
      <c r="E690" s="84"/>
    </row>
    <row r="691" spans="1:5" ht="26.4" hidden="1">
      <c r="A691" s="43"/>
      <c r="B691" s="56">
        <v>70305</v>
      </c>
      <c r="C691" s="92" t="s">
        <v>289</v>
      </c>
      <c r="D691" s="56" t="s">
        <v>2930</v>
      </c>
      <c r="E691" s="84"/>
    </row>
    <row r="692" spans="1:5" hidden="1">
      <c r="A692" s="43"/>
      <c r="B692" s="56">
        <v>70320</v>
      </c>
      <c r="C692" s="92" t="s">
        <v>290</v>
      </c>
      <c r="D692" s="56" t="s">
        <v>2930</v>
      </c>
      <c r="E692" s="84"/>
    </row>
    <row r="693" spans="1:5" hidden="1">
      <c r="A693" s="43"/>
      <c r="B693" s="56">
        <v>70321</v>
      </c>
      <c r="C693" s="92" t="s">
        <v>291</v>
      </c>
      <c r="D693" s="56" t="s">
        <v>2930</v>
      </c>
      <c r="E693" s="84"/>
    </row>
    <row r="694" spans="1:5" hidden="1">
      <c r="A694" s="43"/>
      <c r="B694" s="56">
        <v>70325</v>
      </c>
      <c r="C694" s="92" t="s">
        <v>292</v>
      </c>
      <c r="D694" s="56" t="s">
        <v>2930</v>
      </c>
      <c r="E694" s="84"/>
    </row>
    <row r="695" spans="1:5" hidden="1">
      <c r="A695" s="43"/>
      <c r="B695" s="56">
        <v>70330</v>
      </c>
      <c r="C695" s="92" t="s">
        <v>293</v>
      </c>
      <c r="D695" s="56" t="s">
        <v>2930</v>
      </c>
      <c r="E695" s="84"/>
    </row>
    <row r="696" spans="1:5" hidden="1">
      <c r="A696" s="43"/>
      <c r="B696" s="56">
        <v>70331</v>
      </c>
      <c r="C696" s="92" t="s">
        <v>294</v>
      </c>
      <c r="D696" s="56" t="s">
        <v>2930</v>
      </c>
      <c r="E696" s="84"/>
    </row>
    <row r="697" spans="1:5" hidden="1">
      <c r="A697" s="43"/>
      <c r="B697" s="56">
        <v>70335</v>
      </c>
      <c r="C697" s="92" t="s">
        <v>295</v>
      </c>
      <c r="D697" s="56" t="s">
        <v>2930</v>
      </c>
      <c r="E697" s="84"/>
    </row>
    <row r="698" spans="1:5">
      <c r="A698" s="91" t="s">
        <v>2821</v>
      </c>
      <c r="B698" s="56">
        <v>70350</v>
      </c>
      <c r="C698" s="92" t="s">
        <v>296</v>
      </c>
      <c r="D698" s="56" t="s">
        <v>2930</v>
      </c>
      <c r="E698" s="84">
        <f>ROUND(E699,2)</f>
        <v>48</v>
      </c>
    </row>
    <row r="699" spans="1:5" ht="22.8">
      <c r="A699" s="43"/>
      <c r="B699" s="56"/>
      <c r="C699" s="102" t="s">
        <v>2920</v>
      </c>
      <c r="D699" s="99" t="s">
        <v>2930</v>
      </c>
      <c r="E699" s="113">
        <v>48</v>
      </c>
    </row>
    <row r="700" spans="1:5">
      <c r="A700" s="43"/>
      <c r="B700" s="56"/>
      <c r="C700" s="92"/>
      <c r="D700" s="56"/>
      <c r="E700" s="84"/>
    </row>
    <row r="701" spans="1:5" hidden="1">
      <c r="A701" s="43"/>
      <c r="B701" s="56">
        <v>70351</v>
      </c>
      <c r="C701" s="92" t="s">
        <v>297</v>
      </c>
      <c r="D701" s="56" t="s">
        <v>2930</v>
      </c>
      <c r="E701" s="84"/>
    </row>
    <row r="702" spans="1:5" hidden="1">
      <c r="A702" s="43"/>
      <c r="B702" s="56">
        <v>70352</v>
      </c>
      <c r="C702" s="92" t="s">
        <v>298</v>
      </c>
      <c r="D702" s="56" t="s">
        <v>2930</v>
      </c>
      <c r="E702" s="84"/>
    </row>
    <row r="703" spans="1:5" hidden="1">
      <c r="A703" s="43"/>
      <c r="B703" s="56">
        <v>70353</v>
      </c>
      <c r="C703" s="92" t="s">
        <v>299</v>
      </c>
      <c r="D703" s="56" t="s">
        <v>2930</v>
      </c>
      <c r="E703" s="84"/>
    </row>
    <row r="704" spans="1:5" hidden="1">
      <c r="A704" s="43"/>
      <c r="B704" s="56">
        <v>70354</v>
      </c>
      <c r="C704" s="92" t="s">
        <v>300</v>
      </c>
      <c r="D704" s="56" t="s">
        <v>2930</v>
      </c>
      <c r="E704" s="84"/>
    </row>
    <row r="705" spans="1:6" hidden="1">
      <c r="A705" s="43"/>
      <c r="B705" s="56">
        <v>70355</v>
      </c>
      <c r="C705" s="92" t="s">
        <v>301</v>
      </c>
      <c r="D705" s="56" t="s">
        <v>2930</v>
      </c>
      <c r="E705" s="84"/>
    </row>
    <row r="706" spans="1:6" hidden="1">
      <c r="A706" s="43"/>
      <c r="B706" s="56">
        <v>70356</v>
      </c>
      <c r="C706" s="92" t="s">
        <v>302</v>
      </c>
      <c r="D706" s="56" t="s">
        <v>2930</v>
      </c>
      <c r="E706" s="84"/>
    </row>
    <row r="707" spans="1:6" hidden="1">
      <c r="A707" s="43"/>
      <c r="B707" s="56">
        <v>70357</v>
      </c>
      <c r="C707" s="92" t="s">
        <v>303</v>
      </c>
      <c r="D707" s="56" t="s">
        <v>2930</v>
      </c>
      <c r="E707" s="84"/>
    </row>
    <row r="708" spans="1:6" hidden="1">
      <c r="A708" s="43"/>
      <c r="B708" s="56">
        <v>70358</v>
      </c>
      <c r="C708" s="92" t="s">
        <v>304</v>
      </c>
      <c r="D708" s="56" t="s">
        <v>2930</v>
      </c>
      <c r="E708" s="84"/>
    </row>
    <row r="709" spans="1:6" hidden="1">
      <c r="A709" s="43"/>
      <c r="B709" s="56">
        <v>70370</v>
      </c>
      <c r="C709" s="92" t="s">
        <v>305</v>
      </c>
      <c r="D709" s="56" t="s">
        <v>2930</v>
      </c>
      <c r="E709" s="84"/>
    </row>
    <row r="710" spans="1:6" hidden="1">
      <c r="A710" s="91"/>
      <c r="B710" s="56">
        <v>70371</v>
      </c>
      <c r="C710" s="92" t="s">
        <v>306</v>
      </c>
      <c r="D710" s="56" t="s">
        <v>2930</v>
      </c>
      <c r="E710" s="84"/>
    </row>
    <row r="711" spans="1:6" hidden="1">
      <c r="A711" s="43"/>
      <c r="B711" s="56"/>
      <c r="C711" s="92"/>
      <c r="D711" s="56"/>
      <c r="E711" s="84"/>
    </row>
    <row r="712" spans="1:6">
      <c r="A712" s="91" t="s">
        <v>3613</v>
      </c>
      <c r="B712" s="56">
        <v>70372</v>
      </c>
      <c r="C712" s="92" t="s">
        <v>307</v>
      </c>
      <c r="D712" s="56" t="s">
        <v>2930</v>
      </c>
      <c r="E712" s="84">
        <f>ROUND(SUM(E713:E714),2)</f>
        <v>384</v>
      </c>
    </row>
    <row r="713" spans="1:6">
      <c r="A713" s="93"/>
      <c r="B713" s="99"/>
      <c r="C713" s="102" t="s">
        <v>3034</v>
      </c>
      <c r="D713" s="99" t="s">
        <v>2930</v>
      </c>
      <c r="E713" s="113">
        <v>275</v>
      </c>
    </row>
    <row r="714" spans="1:6" ht="24" customHeight="1">
      <c r="A714" s="93"/>
      <c r="B714" s="99"/>
      <c r="C714" s="102" t="s">
        <v>2932</v>
      </c>
      <c r="D714" s="99" t="s">
        <v>2930</v>
      </c>
      <c r="E714" s="113">
        <v>109</v>
      </c>
    </row>
    <row r="715" spans="1:6">
      <c r="A715" s="43"/>
      <c r="B715" s="56"/>
      <c r="C715" s="92"/>
      <c r="D715" s="56"/>
      <c r="E715" s="84"/>
    </row>
    <row r="716" spans="1:6" hidden="1">
      <c r="A716" s="43"/>
      <c r="B716" s="56">
        <v>70373</v>
      </c>
      <c r="C716" s="92" t="s">
        <v>308</v>
      </c>
      <c r="D716" s="56" t="s">
        <v>2930</v>
      </c>
      <c r="E716" s="84"/>
    </row>
    <row r="717" spans="1:6">
      <c r="A717" s="91" t="s">
        <v>3614</v>
      </c>
      <c r="B717" s="56">
        <v>70374</v>
      </c>
      <c r="C717" s="92" t="s">
        <v>309</v>
      </c>
      <c r="D717" s="56" t="s">
        <v>2930</v>
      </c>
      <c r="E717" s="84">
        <f>ROUND(E718,2)</f>
        <v>15</v>
      </c>
    </row>
    <row r="718" spans="1:6" s="47" customFormat="1" ht="12">
      <c r="A718" s="93"/>
      <c r="B718" s="99"/>
      <c r="C718" s="102" t="s">
        <v>3035</v>
      </c>
      <c r="D718" s="99" t="s">
        <v>2930</v>
      </c>
      <c r="E718" s="113">
        <v>15</v>
      </c>
      <c r="F718" s="163"/>
    </row>
    <row r="719" spans="1:6">
      <c r="A719" s="43"/>
      <c r="B719" s="56"/>
      <c r="C719" s="92"/>
      <c r="D719" s="56"/>
      <c r="E719" s="84"/>
    </row>
    <row r="720" spans="1:6" hidden="1">
      <c r="A720" s="43"/>
      <c r="B720" s="56">
        <v>70375</v>
      </c>
      <c r="C720" s="92" t="s">
        <v>310</v>
      </c>
      <c r="D720" s="56" t="s">
        <v>2930</v>
      </c>
      <c r="E720" s="84"/>
    </row>
    <row r="721" spans="1:6" hidden="1">
      <c r="A721" s="43"/>
      <c r="B721" s="56">
        <v>70376</v>
      </c>
      <c r="C721" s="92" t="s">
        <v>311</v>
      </c>
      <c r="D721" s="56" t="s">
        <v>2930</v>
      </c>
      <c r="E721" s="84"/>
    </row>
    <row r="722" spans="1:6" hidden="1">
      <c r="A722" s="43"/>
      <c r="B722" s="56">
        <v>70377</v>
      </c>
      <c r="C722" s="92" t="s">
        <v>312</v>
      </c>
      <c r="D722" s="56" t="s">
        <v>2930</v>
      </c>
      <c r="E722" s="84"/>
    </row>
    <row r="723" spans="1:6" hidden="1">
      <c r="A723" s="43"/>
      <c r="B723" s="56">
        <v>70378</v>
      </c>
      <c r="C723" s="92" t="s">
        <v>313</v>
      </c>
      <c r="D723" s="56" t="s">
        <v>2930</v>
      </c>
      <c r="E723" s="84"/>
    </row>
    <row r="724" spans="1:6" hidden="1">
      <c r="A724" s="43"/>
      <c r="B724" s="56">
        <v>70379</v>
      </c>
      <c r="C724" s="92" t="s">
        <v>314</v>
      </c>
      <c r="D724" s="56" t="s">
        <v>2930</v>
      </c>
      <c r="E724" s="84"/>
    </row>
    <row r="725" spans="1:6" hidden="1">
      <c r="A725" s="43"/>
      <c r="B725" s="56">
        <v>70380</v>
      </c>
      <c r="C725" s="92" t="s">
        <v>315</v>
      </c>
      <c r="D725" s="56" t="s">
        <v>2930</v>
      </c>
      <c r="E725" s="84"/>
    </row>
    <row r="726" spans="1:6" hidden="1">
      <c r="A726" s="43"/>
      <c r="B726" s="56">
        <v>70386</v>
      </c>
      <c r="C726" s="92" t="s">
        <v>316</v>
      </c>
      <c r="D726" s="56" t="s">
        <v>2930</v>
      </c>
      <c r="E726" s="84"/>
    </row>
    <row r="727" spans="1:6">
      <c r="A727" s="91" t="s">
        <v>3615</v>
      </c>
      <c r="B727" s="56">
        <v>70390</v>
      </c>
      <c r="C727" s="92" t="s">
        <v>317</v>
      </c>
      <c r="D727" s="56" t="s">
        <v>2930</v>
      </c>
      <c r="E727" s="84">
        <f>ROUND(SUM(E728:E730),2)</f>
        <v>290</v>
      </c>
    </row>
    <row r="728" spans="1:6" ht="22.8">
      <c r="A728" s="43"/>
      <c r="B728" s="56"/>
      <c r="C728" s="102" t="s">
        <v>2946</v>
      </c>
      <c r="D728" s="99" t="s">
        <v>2930</v>
      </c>
      <c r="E728" s="113">
        <v>216</v>
      </c>
    </row>
    <row r="729" spans="1:6" ht="22.8">
      <c r="A729" s="43"/>
      <c r="B729" s="56"/>
      <c r="C729" s="102" t="s">
        <v>2945</v>
      </c>
      <c r="D729" s="99" t="s">
        <v>2930</v>
      </c>
      <c r="E729" s="113">
        <v>38</v>
      </c>
    </row>
    <row r="730" spans="1:6" ht="22.8">
      <c r="A730" s="43"/>
      <c r="B730" s="56"/>
      <c r="C730" s="102" t="s">
        <v>3019</v>
      </c>
      <c r="D730" s="99" t="s">
        <v>2930</v>
      </c>
      <c r="E730" s="113">
        <v>36</v>
      </c>
    </row>
    <row r="731" spans="1:6">
      <c r="A731" s="43"/>
      <c r="B731" s="56"/>
      <c r="C731" s="92"/>
      <c r="D731" s="56"/>
      <c r="E731" s="84"/>
    </row>
    <row r="732" spans="1:6">
      <c r="A732" s="91" t="s">
        <v>3616</v>
      </c>
      <c r="B732" s="56">
        <v>70391</v>
      </c>
      <c r="C732" s="92" t="s">
        <v>318</v>
      </c>
      <c r="D732" s="56" t="s">
        <v>2930</v>
      </c>
      <c r="E732" s="84">
        <f>ROUND(SUM(E733:E734),2)</f>
        <v>423</v>
      </c>
    </row>
    <row r="733" spans="1:6" s="47" customFormat="1" ht="24" customHeight="1">
      <c r="A733" s="93"/>
      <c r="B733" s="99"/>
      <c r="C733" s="102" t="s">
        <v>2948</v>
      </c>
      <c r="D733" s="99" t="s">
        <v>2930</v>
      </c>
      <c r="E733" s="113">
        <v>314</v>
      </c>
      <c r="F733" s="163"/>
    </row>
    <row r="734" spans="1:6" s="47" customFormat="1" ht="22.8">
      <c r="A734" s="93"/>
      <c r="B734" s="99"/>
      <c r="C734" s="102" t="s">
        <v>2947</v>
      </c>
      <c r="D734" s="99" t="s">
        <v>2930</v>
      </c>
      <c r="E734" s="113">
        <v>109</v>
      </c>
      <c r="F734" s="163"/>
    </row>
    <row r="735" spans="1:6">
      <c r="A735" s="43"/>
      <c r="B735" s="56"/>
      <c r="C735" s="92"/>
      <c r="D735" s="56"/>
      <c r="E735" s="84"/>
    </row>
    <row r="736" spans="1:6" hidden="1">
      <c r="A736" s="43"/>
      <c r="B736" s="56">
        <v>70392</v>
      </c>
      <c r="C736" s="92" t="s">
        <v>319</v>
      </c>
      <c r="D736" s="56" t="s">
        <v>2930</v>
      </c>
      <c r="E736" s="84"/>
    </row>
    <row r="737" spans="1:5" hidden="1">
      <c r="A737" s="43"/>
      <c r="B737" s="56">
        <v>70393</v>
      </c>
      <c r="C737" s="92" t="s">
        <v>320</v>
      </c>
      <c r="D737" s="56" t="s">
        <v>2930</v>
      </c>
      <c r="E737" s="84"/>
    </row>
    <row r="738" spans="1:5" hidden="1">
      <c r="A738" s="43"/>
      <c r="B738" s="56">
        <v>70394</v>
      </c>
      <c r="C738" s="92" t="s">
        <v>321</v>
      </c>
      <c r="D738" s="56" t="s">
        <v>2930</v>
      </c>
      <c r="E738" s="84"/>
    </row>
    <row r="739" spans="1:5" hidden="1">
      <c r="A739" s="43"/>
      <c r="B739" s="56">
        <v>70420</v>
      </c>
      <c r="C739" s="92" t="s">
        <v>322</v>
      </c>
      <c r="D739" s="56" t="s">
        <v>323</v>
      </c>
      <c r="E739" s="84"/>
    </row>
    <row r="740" spans="1:5" hidden="1">
      <c r="A740" s="43"/>
      <c r="B740" s="56">
        <v>70421</v>
      </c>
      <c r="C740" s="92" t="s">
        <v>324</v>
      </c>
      <c r="D740" s="56" t="s">
        <v>323</v>
      </c>
      <c r="E740" s="84"/>
    </row>
    <row r="741" spans="1:5" hidden="1">
      <c r="A741" s="43"/>
      <c r="B741" s="56">
        <v>70422</v>
      </c>
      <c r="C741" s="92" t="s">
        <v>325</v>
      </c>
      <c r="D741" s="56" t="s">
        <v>323</v>
      </c>
      <c r="E741" s="84"/>
    </row>
    <row r="742" spans="1:5" hidden="1">
      <c r="A742" s="43"/>
      <c r="B742" s="56">
        <v>70423</v>
      </c>
      <c r="C742" s="92" t="s">
        <v>326</v>
      </c>
      <c r="D742" s="56" t="s">
        <v>323</v>
      </c>
      <c r="E742" s="84"/>
    </row>
    <row r="743" spans="1:5" hidden="1">
      <c r="A743" s="43"/>
      <c r="B743" s="56">
        <v>70424</v>
      </c>
      <c r="C743" s="92" t="s">
        <v>327</v>
      </c>
      <c r="D743" s="56" t="s">
        <v>323</v>
      </c>
      <c r="E743" s="84"/>
    </row>
    <row r="744" spans="1:5" hidden="1">
      <c r="A744" s="43"/>
      <c r="B744" s="56">
        <v>70425</v>
      </c>
      <c r="C744" s="92" t="s">
        <v>328</v>
      </c>
      <c r="D744" s="56" t="s">
        <v>323</v>
      </c>
      <c r="E744" s="84"/>
    </row>
    <row r="745" spans="1:5" hidden="1">
      <c r="A745" s="43"/>
      <c r="B745" s="56">
        <v>70426</v>
      </c>
      <c r="C745" s="92" t="s">
        <v>329</v>
      </c>
      <c r="D745" s="56" t="s">
        <v>323</v>
      </c>
      <c r="E745" s="84"/>
    </row>
    <row r="746" spans="1:5" hidden="1">
      <c r="A746" s="43"/>
      <c r="B746" s="56">
        <v>70427</v>
      </c>
      <c r="C746" s="92" t="s">
        <v>330</v>
      </c>
      <c r="D746" s="56" t="s">
        <v>323</v>
      </c>
      <c r="E746" s="84"/>
    </row>
    <row r="747" spans="1:5" hidden="1">
      <c r="A747" s="43"/>
      <c r="B747" s="56">
        <v>70428</v>
      </c>
      <c r="C747" s="92" t="s">
        <v>331</v>
      </c>
      <c r="D747" s="56" t="s">
        <v>323</v>
      </c>
      <c r="E747" s="84"/>
    </row>
    <row r="748" spans="1:5" hidden="1">
      <c r="A748" s="43"/>
      <c r="B748" s="56">
        <v>70450</v>
      </c>
      <c r="C748" s="92" t="s">
        <v>332</v>
      </c>
      <c r="D748" s="56" t="s">
        <v>2930</v>
      </c>
      <c r="E748" s="84"/>
    </row>
    <row r="749" spans="1:5" hidden="1">
      <c r="A749" s="43"/>
      <c r="B749" s="56">
        <v>70451</v>
      </c>
      <c r="C749" s="92" t="s">
        <v>333</v>
      </c>
      <c r="D749" s="56" t="s">
        <v>2930</v>
      </c>
      <c r="E749" s="84"/>
    </row>
    <row r="750" spans="1:5" hidden="1">
      <c r="A750" s="43"/>
      <c r="B750" s="56">
        <v>70452</v>
      </c>
      <c r="C750" s="92" t="s">
        <v>334</v>
      </c>
      <c r="D750" s="56" t="s">
        <v>2930</v>
      </c>
      <c r="E750" s="84"/>
    </row>
    <row r="751" spans="1:5" hidden="1">
      <c r="A751" s="43"/>
      <c r="B751" s="56">
        <v>70500</v>
      </c>
      <c r="C751" s="92" t="s">
        <v>335</v>
      </c>
      <c r="D751" s="56" t="s">
        <v>2930</v>
      </c>
      <c r="E751" s="84"/>
    </row>
    <row r="752" spans="1:5" hidden="1">
      <c r="A752" s="43"/>
      <c r="B752" s="56">
        <v>70501</v>
      </c>
      <c r="C752" s="92" t="s">
        <v>336</v>
      </c>
      <c r="D752" s="56" t="s">
        <v>2930</v>
      </c>
      <c r="E752" s="84"/>
    </row>
    <row r="753" spans="1:5" hidden="1">
      <c r="A753" s="43"/>
      <c r="B753" s="56">
        <v>70502</v>
      </c>
      <c r="C753" s="92" t="s">
        <v>337</v>
      </c>
      <c r="D753" s="56" t="s">
        <v>2930</v>
      </c>
      <c r="E753" s="84"/>
    </row>
    <row r="754" spans="1:5" hidden="1">
      <c r="A754" s="43"/>
      <c r="B754" s="56">
        <v>70503</v>
      </c>
      <c r="C754" s="92" t="s">
        <v>338</v>
      </c>
      <c r="D754" s="56" t="s">
        <v>2930</v>
      </c>
      <c r="E754" s="84"/>
    </row>
    <row r="755" spans="1:5" hidden="1">
      <c r="A755" s="43"/>
      <c r="B755" s="56">
        <v>70504</v>
      </c>
      <c r="C755" s="92" t="s">
        <v>339</v>
      </c>
      <c r="D755" s="56" t="s">
        <v>2930</v>
      </c>
      <c r="E755" s="84"/>
    </row>
    <row r="756" spans="1:5" hidden="1">
      <c r="A756" s="43"/>
      <c r="B756" s="56">
        <v>70505</v>
      </c>
      <c r="C756" s="92" t="s">
        <v>340</v>
      </c>
      <c r="D756" s="56" t="s">
        <v>2930</v>
      </c>
      <c r="E756" s="84"/>
    </row>
    <row r="757" spans="1:5" hidden="1">
      <c r="A757" s="43"/>
      <c r="B757" s="56">
        <v>70506</v>
      </c>
      <c r="C757" s="92" t="s">
        <v>341</v>
      </c>
      <c r="D757" s="56" t="s">
        <v>2930</v>
      </c>
      <c r="E757" s="84"/>
    </row>
    <row r="758" spans="1:5" hidden="1">
      <c r="A758" s="43"/>
      <c r="B758" s="56">
        <v>70507</v>
      </c>
      <c r="C758" s="92" t="s">
        <v>342</v>
      </c>
      <c r="D758" s="56" t="s">
        <v>2930</v>
      </c>
      <c r="E758" s="84"/>
    </row>
    <row r="759" spans="1:5" hidden="1">
      <c r="A759" s="43"/>
      <c r="B759" s="56">
        <v>70509</v>
      </c>
      <c r="C759" s="92" t="s">
        <v>343</v>
      </c>
      <c r="D759" s="56" t="s">
        <v>136</v>
      </c>
      <c r="E759" s="84"/>
    </row>
    <row r="760" spans="1:5" hidden="1">
      <c r="A760" s="43"/>
      <c r="B760" s="56">
        <v>70510</v>
      </c>
      <c r="C760" s="92" t="s">
        <v>344</v>
      </c>
      <c r="D760" s="56" t="s">
        <v>136</v>
      </c>
      <c r="E760" s="84"/>
    </row>
    <row r="761" spans="1:5" hidden="1">
      <c r="A761" s="43"/>
      <c r="B761" s="56">
        <v>70511</v>
      </c>
      <c r="C761" s="92" t="s">
        <v>345</v>
      </c>
      <c r="D761" s="56" t="s">
        <v>136</v>
      </c>
      <c r="E761" s="84"/>
    </row>
    <row r="762" spans="1:5" hidden="1">
      <c r="A762" s="43"/>
      <c r="B762" s="56">
        <v>70512</v>
      </c>
      <c r="C762" s="92" t="s">
        <v>346</v>
      </c>
      <c r="D762" s="56" t="s">
        <v>136</v>
      </c>
      <c r="E762" s="84"/>
    </row>
    <row r="763" spans="1:5" hidden="1">
      <c r="A763" s="43"/>
      <c r="B763" s="56">
        <v>70513</v>
      </c>
      <c r="C763" s="92" t="s">
        <v>347</v>
      </c>
      <c r="D763" s="56" t="s">
        <v>136</v>
      </c>
      <c r="E763" s="84"/>
    </row>
    <row r="764" spans="1:5" hidden="1">
      <c r="A764" s="43"/>
      <c r="B764" s="56">
        <v>70514</v>
      </c>
      <c r="C764" s="92" t="s">
        <v>348</v>
      </c>
      <c r="D764" s="56" t="s">
        <v>136</v>
      </c>
      <c r="E764" s="84"/>
    </row>
    <row r="765" spans="1:5" hidden="1">
      <c r="A765" s="43"/>
      <c r="B765" s="56">
        <v>70515</v>
      </c>
      <c r="C765" s="92" t="s">
        <v>349</v>
      </c>
      <c r="D765" s="56" t="s">
        <v>136</v>
      </c>
      <c r="E765" s="84"/>
    </row>
    <row r="766" spans="1:5" hidden="1">
      <c r="A766" s="43"/>
      <c r="B766" s="56">
        <v>70516</v>
      </c>
      <c r="C766" s="92" t="s">
        <v>350</v>
      </c>
      <c r="D766" s="56" t="s">
        <v>136</v>
      </c>
      <c r="E766" s="84"/>
    </row>
    <row r="767" spans="1:5" hidden="1">
      <c r="A767" s="43"/>
      <c r="B767" s="56">
        <v>70517</v>
      </c>
      <c r="C767" s="92" t="s">
        <v>351</v>
      </c>
      <c r="D767" s="56" t="s">
        <v>136</v>
      </c>
      <c r="E767" s="84"/>
    </row>
    <row r="768" spans="1:5" hidden="1">
      <c r="A768" s="43"/>
      <c r="B768" s="56">
        <v>70518</v>
      </c>
      <c r="C768" s="92" t="s">
        <v>352</v>
      </c>
      <c r="D768" s="56" t="s">
        <v>136</v>
      </c>
      <c r="E768" s="84"/>
    </row>
    <row r="769" spans="1:6" hidden="1">
      <c r="A769" s="43"/>
      <c r="B769" s="56">
        <v>70519</v>
      </c>
      <c r="C769" s="92" t="s">
        <v>353</v>
      </c>
      <c r="D769" s="56" t="s">
        <v>39</v>
      </c>
      <c r="E769" s="84"/>
    </row>
    <row r="770" spans="1:6" hidden="1">
      <c r="A770" s="43"/>
      <c r="B770" s="56">
        <v>70520</v>
      </c>
      <c r="C770" s="92" t="s">
        <v>354</v>
      </c>
      <c r="D770" s="56" t="s">
        <v>136</v>
      </c>
      <c r="E770" s="84"/>
    </row>
    <row r="771" spans="1:6" hidden="1">
      <c r="A771" s="43"/>
      <c r="B771" s="56">
        <v>70525</v>
      </c>
      <c r="C771" s="92" t="s">
        <v>355</v>
      </c>
      <c r="D771" s="56" t="s">
        <v>39</v>
      </c>
      <c r="E771" s="84"/>
    </row>
    <row r="772" spans="1:6" hidden="1">
      <c r="A772" s="43"/>
      <c r="B772" s="56">
        <v>70531</v>
      </c>
      <c r="C772" s="92" t="s">
        <v>356</v>
      </c>
      <c r="D772" s="56" t="s">
        <v>136</v>
      </c>
      <c r="E772" s="84"/>
    </row>
    <row r="773" spans="1:6" hidden="1">
      <c r="A773" s="43"/>
      <c r="B773" s="56">
        <v>70533</v>
      </c>
      <c r="C773" s="92" t="s">
        <v>357</v>
      </c>
      <c r="D773" s="56" t="s">
        <v>136</v>
      </c>
      <c r="E773" s="84"/>
    </row>
    <row r="774" spans="1:6" hidden="1">
      <c r="A774" s="43"/>
      <c r="B774" s="56">
        <v>70534</v>
      </c>
      <c r="C774" s="92" t="s">
        <v>358</v>
      </c>
      <c r="D774" s="56" t="s">
        <v>136</v>
      </c>
      <c r="E774" s="84"/>
    </row>
    <row r="775" spans="1:6" hidden="1">
      <c r="A775" s="43"/>
      <c r="B775" s="56">
        <v>70535</v>
      </c>
      <c r="C775" s="92" t="s">
        <v>359</v>
      </c>
      <c r="D775" s="56" t="s">
        <v>136</v>
      </c>
      <c r="E775" s="84"/>
    </row>
    <row r="776" spans="1:6" hidden="1">
      <c r="A776" s="43"/>
      <c r="B776" s="56">
        <v>70536</v>
      </c>
      <c r="C776" s="92" t="s">
        <v>360</v>
      </c>
      <c r="D776" s="56" t="s">
        <v>136</v>
      </c>
      <c r="E776" s="84"/>
    </row>
    <row r="777" spans="1:6" hidden="1">
      <c r="A777" s="43"/>
      <c r="B777" s="56">
        <v>70537</v>
      </c>
      <c r="C777" s="92" t="s">
        <v>361</v>
      </c>
      <c r="D777" s="56" t="s">
        <v>136</v>
      </c>
      <c r="E777" s="84"/>
    </row>
    <row r="778" spans="1:6" hidden="1">
      <c r="A778" s="43"/>
      <c r="B778" s="56">
        <v>70540</v>
      </c>
      <c r="C778" s="92" t="s">
        <v>362</v>
      </c>
      <c r="D778" s="56" t="s">
        <v>136</v>
      </c>
      <c r="E778" s="84"/>
    </row>
    <row r="779" spans="1:6" hidden="1">
      <c r="A779" s="43"/>
      <c r="B779" s="56">
        <v>70541</v>
      </c>
      <c r="C779" s="92" t="s">
        <v>363</v>
      </c>
      <c r="D779" s="56" t="s">
        <v>136</v>
      </c>
      <c r="E779" s="84"/>
    </row>
    <row r="780" spans="1:6">
      <c r="A780" s="91" t="s">
        <v>3617</v>
      </c>
      <c r="B780" s="56">
        <v>70542</v>
      </c>
      <c r="C780" s="92" t="s">
        <v>364</v>
      </c>
      <c r="D780" s="56" t="s">
        <v>136</v>
      </c>
      <c r="E780" s="84">
        <f>ROUND(E781,2)</f>
        <v>5.0999999999999996</v>
      </c>
    </row>
    <row r="781" spans="1:6" s="47" customFormat="1" ht="12">
      <c r="A781" s="93"/>
      <c r="B781" s="99"/>
      <c r="C781" s="102" t="s">
        <v>3036</v>
      </c>
      <c r="D781" s="99" t="s">
        <v>39</v>
      </c>
      <c r="E781" s="113">
        <f>5.1</f>
        <v>5.0999999999999996</v>
      </c>
      <c r="F781" s="163"/>
    </row>
    <row r="782" spans="1:6">
      <c r="A782" s="43"/>
      <c r="B782" s="56"/>
      <c r="C782" s="92"/>
      <c r="D782" s="56"/>
      <c r="E782" s="84"/>
    </row>
    <row r="783" spans="1:6" hidden="1">
      <c r="A783" s="43"/>
      <c r="B783" s="56">
        <v>70543</v>
      </c>
      <c r="C783" s="92" t="s">
        <v>365</v>
      </c>
      <c r="D783" s="56" t="s">
        <v>136</v>
      </c>
      <c r="E783" s="84"/>
    </row>
    <row r="784" spans="1:6" hidden="1">
      <c r="A784" s="43"/>
      <c r="B784" s="56">
        <v>70544</v>
      </c>
      <c r="C784" s="92" t="s">
        <v>366</v>
      </c>
      <c r="D784" s="56" t="s">
        <v>136</v>
      </c>
      <c r="E784" s="84"/>
    </row>
    <row r="785" spans="1:6" hidden="1">
      <c r="A785" s="43"/>
      <c r="B785" s="56">
        <v>70545</v>
      </c>
      <c r="C785" s="92" t="s">
        <v>367</v>
      </c>
      <c r="D785" s="56" t="s">
        <v>136</v>
      </c>
      <c r="E785" s="84"/>
    </row>
    <row r="786" spans="1:6" hidden="1">
      <c r="A786" s="43"/>
      <c r="B786" s="56">
        <v>70546</v>
      </c>
      <c r="C786" s="92" t="s">
        <v>368</v>
      </c>
      <c r="D786" s="56" t="s">
        <v>136</v>
      </c>
      <c r="E786" s="84"/>
    </row>
    <row r="787" spans="1:6" hidden="1">
      <c r="A787" s="43"/>
      <c r="B787" s="56">
        <v>70555</v>
      </c>
      <c r="C787" s="92" t="s">
        <v>369</v>
      </c>
      <c r="D787" s="56" t="s">
        <v>136</v>
      </c>
      <c r="E787" s="84"/>
    </row>
    <row r="788" spans="1:6" hidden="1">
      <c r="A788" s="43"/>
      <c r="B788" s="56">
        <v>70556</v>
      </c>
      <c r="C788" s="92" t="s">
        <v>370</v>
      </c>
      <c r="D788" s="56" t="s">
        <v>136</v>
      </c>
      <c r="E788" s="84"/>
    </row>
    <row r="789" spans="1:6" hidden="1">
      <c r="A789" s="43"/>
      <c r="B789" s="56">
        <v>70557</v>
      </c>
      <c r="C789" s="92" t="s">
        <v>371</v>
      </c>
      <c r="D789" s="56" t="s">
        <v>136</v>
      </c>
      <c r="E789" s="84"/>
    </row>
    <row r="790" spans="1:6" hidden="1">
      <c r="A790" s="43"/>
      <c r="B790" s="56">
        <v>70560</v>
      </c>
      <c r="C790" s="92" t="s">
        <v>372</v>
      </c>
      <c r="D790" s="56" t="s">
        <v>136</v>
      </c>
      <c r="E790" s="84"/>
    </row>
    <row r="791" spans="1:6" hidden="1">
      <c r="A791" s="43"/>
      <c r="B791" s="56">
        <v>70561</v>
      </c>
      <c r="C791" s="92" t="s">
        <v>373</v>
      </c>
      <c r="D791" s="56" t="s">
        <v>136</v>
      </c>
      <c r="E791" s="84"/>
    </row>
    <row r="792" spans="1:6">
      <c r="A792" s="91" t="s">
        <v>3619</v>
      </c>
      <c r="B792" s="56">
        <v>70563</v>
      </c>
      <c r="C792" s="92" t="s">
        <v>374</v>
      </c>
      <c r="D792" s="56" t="s">
        <v>136</v>
      </c>
      <c r="E792" s="84">
        <f>ROUND(SUM(E793:E798),2)</f>
        <v>809.6</v>
      </c>
      <c r="F792" s="166"/>
    </row>
    <row r="793" spans="1:6" s="47" customFormat="1" ht="22.8">
      <c r="A793" s="93"/>
      <c r="B793" s="99"/>
      <c r="C793" s="102" t="s">
        <v>2972</v>
      </c>
      <c r="D793" s="99" t="s">
        <v>2114</v>
      </c>
      <c r="E793" s="113">
        <f>209+108.1</f>
        <v>317.10000000000002</v>
      </c>
      <c r="F793" s="163"/>
    </row>
    <row r="794" spans="1:6" s="47" customFormat="1" ht="22.8">
      <c r="A794" s="93"/>
      <c r="B794" s="99"/>
      <c r="C794" s="102" t="s">
        <v>2973</v>
      </c>
      <c r="D794" s="99" t="s">
        <v>2114</v>
      </c>
      <c r="E794" s="113">
        <f>102.97+155.57</f>
        <v>258.53999999999996</v>
      </c>
      <c r="F794" s="163"/>
    </row>
    <row r="795" spans="1:6" s="47" customFormat="1" ht="22.8">
      <c r="A795" s="93"/>
      <c r="B795" s="99"/>
      <c r="C795" s="102" t="s">
        <v>2974</v>
      </c>
      <c r="D795" s="99" t="s">
        <v>2114</v>
      </c>
      <c r="E795" s="113">
        <f>37.85+85.62</f>
        <v>123.47</v>
      </c>
      <c r="F795" s="163"/>
    </row>
    <row r="796" spans="1:6" s="47" customFormat="1" ht="22.8">
      <c r="A796" s="93"/>
      <c r="B796" s="99"/>
      <c r="C796" s="102" t="s">
        <v>2975</v>
      </c>
      <c r="D796" s="99" t="s">
        <v>2114</v>
      </c>
      <c r="E796" s="113">
        <f>19.22+19.65</f>
        <v>38.869999999999997</v>
      </c>
      <c r="F796" s="163"/>
    </row>
    <row r="797" spans="1:6" s="47" customFormat="1" ht="22.8">
      <c r="A797" s="93"/>
      <c r="B797" s="99"/>
      <c r="C797" s="102" t="s">
        <v>2977</v>
      </c>
      <c r="D797" s="99" t="s">
        <v>2114</v>
      </c>
      <c r="E797" s="113">
        <v>43.42</v>
      </c>
      <c r="F797" s="163"/>
    </row>
    <row r="798" spans="1:6" s="47" customFormat="1" ht="22.8">
      <c r="A798" s="93"/>
      <c r="B798" s="99"/>
      <c r="C798" s="102" t="s">
        <v>2976</v>
      </c>
      <c r="D798" s="99" t="s">
        <v>2114</v>
      </c>
      <c r="E798" s="113">
        <v>28.2</v>
      </c>
      <c r="F798" s="163"/>
    </row>
    <row r="799" spans="1:6">
      <c r="A799" s="43"/>
      <c r="B799" s="56"/>
      <c r="C799" s="92"/>
      <c r="D799" s="56"/>
      <c r="E799" s="84"/>
    </row>
    <row r="800" spans="1:6">
      <c r="A800" s="91" t="s">
        <v>3620</v>
      </c>
      <c r="B800" s="56">
        <v>70564</v>
      </c>
      <c r="C800" s="92" t="s">
        <v>375</v>
      </c>
      <c r="D800" s="56" t="s">
        <v>2487</v>
      </c>
      <c r="E800" s="84">
        <f>ROUND(SUM(E801:E805),2)</f>
        <v>882.95</v>
      </c>
      <c r="F800" s="166"/>
    </row>
    <row r="801" spans="1:6" s="47" customFormat="1" ht="22.8">
      <c r="A801" s="93"/>
      <c r="B801" s="99"/>
      <c r="C801" s="102" t="s">
        <v>2978</v>
      </c>
      <c r="D801" s="99" t="s">
        <v>39</v>
      </c>
      <c r="E801" s="113">
        <v>313.73</v>
      </c>
      <c r="F801" s="163"/>
    </row>
    <row r="802" spans="1:6" s="47" customFormat="1" ht="22.8">
      <c r="A802" s="93"/>
      <c r="B802" s="99"/>
      <c r="C802" s="102" t="s">
        <v>2979</v>
      </c>
      <c r="D802" s="99" t="s">
        <v>39</v>
      </c>
      <c r="E802" s="113">
        <v>132.01</v>
      </c>
      <c r="F802" s="163"/>
    </row>
    <row r="803" spans="1:6" s="47" customFormat="1" ht="22.8">
      <c r="A803" s="93"/>
      <c r="B803" s="99"/>
      <c r="C803" s="102" t="s">
        <v>2980</v>
      </c>
      <c r="D803" s="99" t="s">
        <v>39</v>
      </c>
      <c r="E803" s="113">
        <v>110.88</v>
      </c>
      <c r="F803" s="163"/>
    </row>
    <row r="804" spans="1:6" s="47" customFormat="1" ht="22.8">
      <c r="A804" s="93"/>
      <c r="B804" s="99"/>
      <c r="C804" s="102" t="s">
        <v>2981</v>
      </c>
      <c r="D804" s="99" t="s">
        <v>39</v>
      </c>
      <c r="E804" s="113">
        <v>255.49</v>
      </c>
      <c r="F804" s="163"/>
    </row>
    <row r="805" spans="1:6" s="47" customFormat="1" ht="22.8">
      <c r="A805" s="93"/>
      <c r="B805" s="99"/>
      <c r="C805" s="102" t="s">
        <v>2982</v>
      </c>
      <c r="D805" s="99" t="s">
        <v>39</v>
      </c>
      <c r="E805" s="113">
        <v>70.84</v>
      </c>
      <c r="F805" s="163"/>
    </row>
    <row r="806" spans="1:6">
      <c r="A806" s="43"/>
      <c r="B806" s="56"/>
      <c r="C806" s="92"/>
      <c r="D806" s="56"/>
      <c r="E806" s="84"/>
    </row>
    <row r="807" spans="1:6" hidden="1">
      <c r="A807" s="43"/>
      <c r="B807" s="56">
        <v>70565</v>
      </c>
      <c r="C807" s="92" t="s">
        <v>376</v>
      </c>
      <c r="D807" s="56" t="s">
        <v>39</v>
      </c>
      <c r="E807" s="84"/>
    </row>
    <row r="808" spans="1:6" hidden="1">
      <c r="A808" s="43"/>
      <c r="B808" s="56">
        <v>70570</v>
      </c>
      <c r="C808" s="92" t="s">
        <v>377</v>
      </c>
      <c r="D808" s="56" t="s">
        <v>136</v>
      </c>
      <c r="E808" s="84"/>
    </row>
    <row r="809" spans="1:6" hidden="1">
      <c r="A809" s="43"/>
      <c r="B809" s="56">
        <v>70571</v>
      </c>
      <c r="C809" s="92" t="s">
        <v>378</v>
      </c>
      <c r="D809" s="56" t="s">
        <v>136</v>
      </c>
      <c r="E809" s="84"/>
    </row>
    <row r="810" spans="1:6" hidden="1">
      <c r="A810" s="43"/>
      <c r="B810" s="56">
        <v>70572</v>
      </c>
      <c r="C810" s="92" t="s">
        <v>379</v>
      </c>
      <c r="D810" s="56" t="s">
        <v>136</v>
      </c>
      <c r="E810" s="84"/>
    </row>
    <row r="811" spans="1:6" hidden="1">
      <c r="A811" s="43"/>
      <c r="B811" s="56">
        <v>70573</v>
      </c>
      <c r="C811" s="92" t="s">
        <v>380</v>
      </c>
      <c r="D811" s="56" t="s">
        <v>136</v>
      </c>
      <c r="E811" s="84"/>
    </row>
    <row r="812" spans="1:6" hidden="1">
      <c r="A812" s="43"/>
      <c r="B812" s="56">
        <v>70580</v>
      </c>
      <c r="C812" s="92" t="s">
        <v>381</v>
      </c>
      <c r="D812" s="56" t="s">
        <v>136</v>
      </c>
      <c r="E812" s="84"/>
    </row>
    <row r="813" spans="1:6" hidden="1">
      <c r="A813" s="43"/>
      <c r="B813" s="56">
        <v>70581</v>
      </c>
      <c r="C813" s="92" t="s">
        <v>382</v>
      </c>
      <c r="D813" s="56" t="s">
        <v>136</v>
      </c>
      <c r="E813" s="84"/>
    </row>
    <row r="814" spans="1:6" hidden="1">
      <c r="A814" s="43"/>
      <c r="B814" s="56">
        <v>70582</v>
      </c>
      <c r="C814" s="92" t="s">
        <v>383</v>
      </c>
      <c r="D814" s="56" t="s">
        <v>136</v>
      </c>
      <c r="E814" s="84"/>
    </row>
    <row r="815" spans="1:6">
      <c r="A815" s="91" t="s">
        <v>3621</v>
      </c>
      <c r="B815" s="56">
        <v>70583</v>
      </c>
      <c r="C815" s="92" t="s">
        <v>384</v>
      </c>
      <c r="D815" s="56" t="s">
        <v>136</v>
      </c>
      <c r="E815" s="84">
        <f>ROUND(SUM(E816:E820),2)</f>
        <v>871.95</v>
      </c>
      <c r="F815" s="166"/>
    </row>
    <row r="816" spans="1:6" s="47" customFormat="1" ht="22.8">
      <c r="A816" s="93"/>
      <c r="B816" s="99"/>
      <c r="C816" s="102" t="s">
        <v>2967</v>
      </c>
      <c r="D816" s="99" t="s">
        <v>39</v>
      </c>
      <c r="E816" s="113">
        <v>174.39</v>
      </c>
      <c r="F816" s="163"/>
    </row>
    <row r="817" spans="1:6" s="47" customFormat="1" ht="22.8">
      <c r="A817" s="93"/>
      <c r="B817" s="99"/>
      <c r="C817" s="102" t="s">
        <v>2968</v>
      </c>
      <c r="D817" s="99" t="s">
        <v>39</v>
      </c>
      <c r="E817" s="113">
        <v>174.39</v>
      </c>
      <c r="F817" s="163"/>
    </row>
    <row r="818" spans="1:6" s="47" customFormat="1" ht="22.8">
      <c r="A818" s="93"/>
      <c r="B818" s="99"/>
      <c r="C818" s="102" t="s">
        <v>2969</v>
      </c>
      <c r="D818" s="99" t="s">
        <v>39</v>
      </c>
      <c r="E818" s="113">
        <v>174.39</v>
      </c>
      <c r="F818" s="163"/>
    </row>
    <row r="819" spans="1:6" s="47" customFormat="1" ht="22.8">
      <c r="A819" s="93"/>
      <c r="B819" s="99"/>
      <c r="C819" s="102" t="s">
        <v>2970</v>
      </c>
      <c r="D819" s="99" t="s">
        <v>39</v>
      </c>
      <c r="E819" s="113">
        <v>174.39</v>
      </c>
      <c r="F819" s="163"/>
    </row>
    <row r="820" spans="1:6" s="47" customFormat="1" ht="22.8">
      <c r="A820" s="93"/>
      <c r="B820" s="99"/>
      <c r="C820" s="102" t="s">
        <v>2971</v>
      </c>
      <c r="D820" s="99" t="s">
        <v>39</v>
      </c>
      <c r="E820" s="113">
        <v>174.39</v>
      </c>
      <c r="F820" s="163"/>
    </row>
    <row r="821" spans="1:6">
      <c r="A821" s="43"/>
      <c r="B821" s="56"/>
      <c r="C821" s="92"/>
      <c r="D821" s="56"/>
      <c r="E821" s="84"/>
    </row>
    <row r="822" spans="1:6" hidden="1">
      <c r="A822" s="43"/>
      <c r="B822" s="56">
        <v>70584</v>
      </c>
      <c r="C822" s="92" t="s">
        <v>385</v>
      </c>
      <c r="D822" s="56" t="s">
        <v>136</v>
      </c>
      <c r="E822" s="84"/>
    </row>
    <row r="823" spans="1:6">
      <c r="A823" s="91" t="s">
        <v>3622</v>
      </c>
      <c r="B823" s="56">
        <v>70585</v>
      </c>
      <c r="C823" s="92" t="s">
        <v>386</v>
      </c>
      <c r="D823" s="56" t="s">
        <v>136</v>
      </c>
      <c r="E823" s="84">
        <f>ROUND(E824,2)</f>
        <v>50.79</v>
      </c>
    </row>
    <row r="824" spans="1:6" s="47" customFormat="1" ht="22.8">
      <c r="A824" s="93"/>
      <c r="B824" s="99"/>
      <c r="C824" s="102" t="s">
        <v>2966</v>
      </c>
      <c r="D824" s="99" t="s">
        <v>39</v>
      </c>
      <c r="E824" s="113">
        <v>50.79</v>
      </c>
      <c r="F824" s="163"/>
    </row>
    <row r="825" spans="1:6">
      <c r="A825" s="43"/>
      <c r="B825" s="56"/>
      <c r="C825" s="92"/>
      <c r="D825" s="56"/>
      <c r="E825" s="84"/>
    </row>
    <row r="826" spans="1:6">
      <c r="A826" s="91" t="s">
        <v>3623</v>
      </c>
      <c r="B826" s="56">
        <v>70586</v>
      </c>
      <c r="C826" s="92" t="s">
        <v>387</v>
      </c>
      <c r="D826" s="56" t="s">
        <v>136</v>
      </c>
      <c r="E826" s="84">
        <f>ROUND(SUM(E827:E830),2)</f>
        <v>203.16</v>
      </c>
      <c r="F826" s="166"/>
    </row>
    <row r="827" spans="1:6" s="47" customFormat="1" ht="22.8">
      <c r="A827" s="93"/>
      <c r="B827" s="99"/>
      <c r="C827" s="102" t="s">
        <v>2962</v>
      </c>
      <c r="D827" s="99" t="s">
        <v>2114</v>
      </c>
      <c r="E827" s="113">
        <v>50.79</v>
      </c>
      <c r="F827" s="163"/>
    </row>
    <row r="828" spans="1:6" s="47" customFormat="1" ht="22.8">
      <c r="A828" s="93"/>
      <c r="B828" s="99"/>
      <c r="C828" s="102" t="s">
        <v>2963</v>
      </c>
      <c r="D828" s="99" t="s">
        <v>2114</v>
      </c>
      <c r="E828" s="113">
        <v>50.79</v>
      </c>
      <c r="F828" s="163"/>
    </row>
    <row r="829" spans="1:6" s="47" customFormat="1" ht="22.8">
      <c r="A829" s="93"/>
      <c r="B829" s="99"/>
      <c r="C829" s="102" t="s">
        <v>2964</v>
      </c>
      <c r="D829" s="99" t="s">
        <v>2114</v>
      </c>
      <c r="E829" s="113">
        <v>50.79</v>
      </c>
      <c r="F829" s="163"/>
    </row>
    <row r="830" spans="1:6" s="47" customFormat="1" ht="22.8">
      <c r="A830" s="93"/>
      <c r="B830" s="99"/>
      <c r="C830" s="102" t="s">
        <v>2965</v>
      </c>
      <c r="D830" s="99" t="s">
        <v>2114</v>
      </c>
      <c r="E830" s="113">
        <v>50.79</v>
      </c>
      <c r="F830" s="163"/>
    </row>
    <row r="831" spans="1:6">
      <c r="A831" s="43"/>
      <c r="B831" s="56"/>
      <c r="C831" s="92"/>
      <c r="D831" s="56"/>
      <c r="E831" s="84"/>
    </row>
    <row r="832" spans="1:6" hidden="1">
      <c r="A832" s="43"/>
      <c r="B832" s="56">
        <v>70587</v>
      </c>
      <c r="C832" s="92" t="s">
        <v>388</v>
      </c>
      <c r="D832" s="56" t="s">
        <v>136</v>
      </c>
      <c r="E832" s="84"/>
    </row>
    <row r="833" spans="1:5" hidden="1">
      <c r="A833" s="43"/>
      <c r="B833" s="56">
        <v>70588</v>
      </c>
      <c r="C833" s="92" t="s">
        <v>389</v>
      </c>
      <c r="D833" s="56" t="s">
        <v>136</v>
      </c>
      <c r="E833" s="84"/>
    </row>
    <row r="834" spans="1:5" hidden="1">
      <c r="A834" s="43"/>
      <c r="B834" s="56">
        <v>70589</v>
      </c>
      <c r="C834" s="92" t="s">
        <v>390</v>
      </c>
      <c r="D834" s="56" t="s">
        <v>136</v>
      </c>
      <c r="E834" s="84"/>
    </row>
    <row r="835" spans="1:5" hidden="1">
      <c r="A835" s="43"/>
      <c r="B835" s="56">
        <v>70590</v>
      </c>
      <c r="C835" s="92" t="s">
        <v>391</v>
      </c>
      <c r="D835" s="56" t="s">
        <v>136</v>
      </c>
      <c r="E835" s="84"/>
    </row>
    <row r="836" spans="1:5" hidden="1">
      <c r="A836" s="43"/>
      <c r="B836" s="56">
        <v>70591</v>
      </c>
      <c r="C836" s="92" t="s">
        <v>392</v>
      </c>
      <c r="D836" s="56" t="s">
        <v>136</v>
      </c>
      <c r="E836" s="84"/>
    </row>
    <row r="837" spans="1:5" hidden="1">
      <c r="A837" s="43"/>
      <c r="B837" s="56">
        <v>70592</v>
      </c>
      <c r="C837" s="92" t="s">
        <v>393</v>
      </c>
      <c r="D837" s="56" t="s">
        <v>136</v>
      </c>
      <c r="E837" s="84"/>
    </row>
    <row r="838" spans="1:5" hidden="1">
      <c r="A838" s="43"/>
      <c r="B838" s="56">
        <v>70593</v>
      </c>
      <c r="C838" s="92" t="s">
        <v>394</v>
      </c>
      <c r="D838" s="56" t="s">
        <v>136</v>
      </c>
      <c r="E838" s="84"/>
    </row>
    <row r="839" spans="1:5" hidden="1">
      <c r="A839" s="43"/>
      <c r="B839" s="56">
        <v>70594</v>
      </c>
      <c r="C839" s="92" t="s">
        <v>395</v>
      </c>
      <c r="D839" s="56" t="s">
        <v>136</v>
      </c>
      <c r="E839" s="84"/>
    </row>
    <row r="840" spans="1:5" hidden="1">
      <c r="A840" s="43"/>
      <c r="B840" s="56">
        <v>70601</v>
      </c>
      <c r="C840" s="92" t="s">
        <v>396</v>
      </c>
      <c r="D840" s="56" t="s">
        <v>136</v>
      </c>
      <c r="E840" s="84"/>
    </row>
    <row r="841" spans="1:5" hidden="1">
      <c r="A841" s="43"/>
      <c r="B841" s="56">
        <v>70602</v>
      </c>
      <c r="C841" s="92" t="s">
        <v>397</v>
      </c>
      <c r="D841" s="56" t="s">
        <v>136</v>
      </c>
      <c r="E841" s="84"/>
    </row>
    <row r="842" spans="1:5" hidden="1">
      <c r="A842" s="43"/>
      <c r="B842" s="56">
        <v>70603</v>
      </c>
      <c r="C842" s="92" t="s">
        <v>398</v>
      </c>
      <c r="D842" s="56" t="s">
        <v>136</v>
      </c>
      <c r="E842" s="84"/>
    </row>
    <row r="843" spans="1:5" hidden="1">
      <c r="A843" s="43"/>
      <c r="B843" s="56">
        <v>70607</v>
      </c>
      <c r="C843" s="92" t="s">
        <v>399</v>
      </c>
      <c r="D843" s="56" t="s">
        <v>136</v>
      </c>
      <c r="E843" s="84"/>
    </row>
    <row r="844" spans="1:5" hidden="1">
      <c r="A844" s="43"/>
      <c r="B844" s="56">
        <v>70608</v>
      </c>
      <c r="C844" s="92" t="s">
        <v>400</v>
      </c>
      <c r="D844" s="56" t="s">
        <v>136</v>
      </c>
      <c r="E844" s="84"/>
    </row>
    <row r="845" spans="1:5" hidden="1">
      <c r="A845" s="43"/>
      <c r="B845" s="56">
        <v>70610</v>
      </c>
      <c r="C845" s="92" t="s">
        <v>401</v>
      </c>
      <c r="D845" s="56" t="s">
        <v>136</v>
      </c>
      <c r="E845" s="84"/>
    </row>
    <row r="846" spans="1:5" hidden="1">
      <c r="A846" s="43"/>
      <c r="B846" s="56">
        <v>70611</v>
      </c>
      <c r="C846" s="92" t="s">
        <v>402</v>
      </c>
      <c r="D846" s="56" t="s">
        <v>136</v>
      </c>
      <c r="E846" s="84"/>
    </row>
    <row r="847" spans="1:5" hidden="1">
      <c r="A847" s="43"/>
      <c r="B847" s="56">
        <v>70612</v>
      </c>
      <c r="C847" s="92" t="s">
        <v>403</v>
      </c>
      <c r="D847" s="56" t="s">
        <v>136</v>
      </c>
      <c r="E847" s="84"/>
    </row>
    <row r="848" spans="1:5" hidden="1">
      <c r="A848" s="43"/>
      <c r="B848" s="56">
        <v>70613</v>
      </c>
      <c r="C848" s="92" t="s">
        <v>404</v>
      </c>
      <c r="D848" s="56" t="s">
        <v>136</v>
      </c>
      <c r="E848" s="84"/>
    </row>
    <row r="849" spans="1:5" hidden="1">
      <c r="A849" s="43"/>
      <c r="B849" s="56">
        <v>70620</v>
      </c>
      <c r="C849" s="92" t="s">
        <v>405</v>
      </c>
      <c r="D849" s="56" t="s">
        <v>136</v>
      </c>
      <c r="E849" s="84"/>
    </row>
    <row r="850" spans="1:5" hidden="1">
      <c r="A850" s="43"/>
      <c r="B850" s="56">
        <v>70621</v>
      </c>
      <c r="C850" s="92" t="s">
        <v>406</v>
      </c>
      <c r="D850" s="56" t="s">
        <v>136</v>
      </c>
      <c r="E850" s="84"/>
    </row>
    <row r="851" spans="1:5" hidden="1">
      <c r="A851" s="43"/>
      <c r="B851" s="56">
        <v>70622</v>
      </c>
      <c r="C851" s="92" t="s">
        <v>407</v>
      </c>
      <c r="D851" s="56" t="s">
        <v>136</v>
      </c>
      <c r="E851" s="84"/>
    </row>
    <row r="852" spans="1:5" hidden="1">
      <c r="A852" s="43"/>
      <c r="B852" s="56">
        <v>70626</v>
      </c>
      <c r="C852" s="92" t="s">
        <v>408</v>
      </c>
      <c r="D852" s="56" t="s">
        <v>136</v>
      </c>
      <c r="E852" s="84"/>
    </row>
    <row r="853" spans="1:5" ht="26.4" hidden="1">
      <c r="A853" s="43"/>
      <c r="B853" s="56">
        <v>70630</v>
      </c>
      <c r="C853" s="92" t="s">
        <v>409</v>
      </c>
      <c r="D853" s="56" t="s">
        <v>2930</v>
      </c>
      <c r="E853" s="84"/>
    </row>
    <row r="854" spans="1:5" hidden="1">
      <c r="A854" s="43"/>
      <c r="B854" s="56">
        <v>70631</v>
      </c>
      <c r="C854" s="92" t="s">
        <v>410</v>
      </c>
      <c r="D854" s="56" t="s">
        <v>2930</v>
      </c>
      <c r="E854" s="84"/>
    </row>
    <row r="855" spans="1:5" ht="26.4" hidden="1">
      <c r="A855" s="43"/>
      <c r="B855" s="56">
        <v>70633</v>
      </c>
      <c r="C855" s="92" t="s">
        <v>411</v>
      </c>
      <c r="D855" s="56" t="s">
        <v>30</v>
      </c>
      <c r="E855" s="84"/>
    </row>
    <row r="856" spans="1:5" ht="26.4" hidden="1">
      <c r="A856" s="43"/>
      <c r="B856" s="56">
        <v>70634</v>
      </c>
      <c r="C856" s="92" t="s">
        <v>412</v>
      </c>
      <c r="D856" s="56" t="s">
        <v>12</v>
      </c>
      <c r="E856" s="84"/>
    </row>
    <row r="857" spans="1:5" ht="26.4" hidden="1">
      <c r="A857" s="43"/>
      <c r="B857" s="56">
        <v>70635</v>
      </c>
      <c r="C857" s="92" t="s">
        <v>413</v>
      </c>
      <c r="D857" s="56" t="s">
        <v>414</v>
      </c>
      <c r="E857" s="84"/>
    </row>
    <row r="858" spans="1:5" ht="26.4" hidden="1">
      <c r="A858" s="43"/>
      <c r="B858" s="56">
        <v>70636</v>
      </c>
      <c r="C858" s="92" t="s">
        <v>415</v>
      </c>
      <c r="D858" s="56" t="s">
        <v>12</v>
      </c>
      <c r="E858" s="84"/>
    </row>
    <row r="859" spans="1:5" hidden="1">
      <c r="A859" s="43"/>
      <c r="B859" s="56">
        <v>70637</v>
      </c>
      <c r="C859" s="92" t="s">
        <v>416</v>
      </c>
      <c r="D859" s="56" t="s">
        <v>30</v>
      </c>
      <c r="E859" s="84"/>
    </row>
    <row r="860" spans="1:5" ht="26.4" hidden="1">
      <c r="A860" s="43"/>
      <c r="B860" s="56">
        <v>70638</v>
      </c>
      <c r="C860" s="92" t="s">
        <v>417</v>
      </c>
      <c r="D860" s="56" t="s">
        <v>30</v>
      </c>
      <c r="E860" s="84"/>
    </row>
    <row r="861" spans="1:5" hidden="1">
      <c r="A861" s="43"/>
      <c r="B861" s="56">
        <v>70645</v>
      </c>
      <c r="C861" s="92" t="s">
        <v>418</v>
      </c>
      <c r="D861" s="56" t="s">
        <v>2930</v>
      </c>
      <c r="E861" s="84"/>
    </row>
    <row r="862" spans="1:5" hidden="1">
      <c r="A862" s="43"/>
      <c r="B862" s="56">
        <v>70646</v>
      </c>
      <c r="C862" s="92" t="s">
        <v>419</v>
      </c>
      <c r="D862" s="56" t="s">
        <v>2930</v>
      </c>
      <c r="E862" s="84"/>
    </row>
    <row r="863" spans="1:5" hidden="1">
      <c r="A863" s="43"/>
      <c r="B863" s="56">
        <v>70647</v>
      </c>
      <c r="C863" s="92" t="s">
        <v>420</v>
      </c>
      <c r="D863" s="56" t="s">
        <v>2930</v>
      </c>
      <c r="E863" s="84"/>
    </row>
    <row r="864" spans="1:5" hidden="1">
      <c r="A864" s="43"/>
      <c r="B864" s="56">
        <v>70648</v>
      </c>
      <c r="C864" s="92" t="s">
        <v>421</v>
      </c>
      <c r="D864" s="56" t="s">
        <v>2930</v>
      </c>
      <c r="E864" s="84"/>
    </row>
    <row r="865" spans="1:6" hidden="1">
      <c r="A865" s="43"/>
      <c r="B865" s="56">
        <v>70649</v>
      </c>
      <c r="C865" s="92" t="s">
        <v>422</v>
      </c>
      <c r="D865" s="56" t="s">
        <v>2930</v>
      </c>
      <c r="E865" s="84"/>
    </row>
    <row r="866" spans="1:6" hidden="1">
      <c r="A866" s="43"/>
      <c r="B866" s="56">
        <v>70670</v>
      </c>
      <c r="C866" s="92" t="s">
        <v>423</v>
      </c>
      <c r="D866" s="56" t="s">
        <v>2930</v>
      </c>
      <c r="E866" s="84"/>
    </row>
    <row r="867" spans="1:6" hidden="1">
      <c r="A867" s="43"/>
      <c r="B867" s="56">
        <v>70671</v>
      </c>
      <c r="C867" s="92" t="s">
        <v>424</v>
      </c>
      <c r="D867" s="56" t="s">
        <v>2930</v>
      </c>
      <c r="E867" s="84"/>
    </row>
    <row r="868" spans="1:6" hidden="1">
      <c r="A868" s="43"/>
      <c r="B868" s="56">
        <v>70672</v>
      </c>
      <c r="C868" s="92" t="s">
        <v>425</v>
      </c>
      <c r="D868" s="56" t="s">
        <v>2930</v>
      </c>
      <c r="E868" s="84"/>
    </row>
    <row r="869" spans="1:6" hidden="1">
      <c r="A869" s="43"/>
      <c r="B869" s="56">
        <v>70673</v>
      </c>
      <c r="C869" s="92" t="s">
        <v>426</v>
      </c>
      <c r="D869" s="56" t="s">
        <v>2930</v>
      </c>
      <c r="E869" s="84"/>
    </row>
    <row r="870" spans="1:6" ht="26.4" hidden="1">
      <c r="A870" s="43"/>
      <c r="B870" s="56">
        <v>70680</v>
      </c>
      <c r="C870" s="92" t="s">
        <v>427</v>
      </c>
      <c r="D870" s="56" t="s">
        <v>2930</v>
      </c>
      <c r="E870" s="84"/>
    </row>
    <row r="871" spans="1:6" hidden="1">
      <c r="A871" s="43"/>
      <c r="B871" s="56">
        <v>70681</v>
      </c>
      <c r="C871" s="92" t="s">
        <v>428</v>
      </c>
      <c r="D871" s="56" t="s">
        <v>2930</v>
      </c>
      <c r="E871" s="84"/>
    </row>
    <row r="872" spans="1:6" hidden="1">
      <c r="A872" s="43"/>
      <c r="B872" s="56">
        <v>70682</v>
      </c>
      <c r="C872" s="92" t="s">
        <v>429</v>
      </c>
      <c r="D872" s="56" t="s">
        <v>2930</v>
      </c>
      <c r="E872" s="84"/>
    </row>
    <row r="873" spans="1:6">
      <c r="A873" s="91" t="s">
        <v>3624</v>
      </c>
      <c r="B873" s="56">
        <v>70691</v>
      </c>
      <c r="C873" s="92" t="s">
        <v>430</v>
      </c>
      <c r="D873" s="56" t="s">
        <v>2930</v>
      </c>
      <c r="E873" s="84">
        <f>ROUND(SUM(E874:E876),2)</f>
        <v>8</v>
      </c>
      <c r="F873" s="166"/>
    </row>
    <row r="874" spans="1:6" s="47" customFormat="1" ht="22.8">
      <c r="A874" s="93"/>
      <c r="B874" s="99"/>
      <c r="C874" s="102" t="s">
        <v>2933</v>
      </c>
      <c r="D874" s="99" t="s">
        <v>2930</v>
      </c>
      <c r="E874" s="113">
        <v>1</v>
      </c>
      <c r="F874" s="165"/>
    </row>
    <row r="875" spans="1:6" s="47" customFormat="1" ht="22.8">
      <c r="A875" s="93"/>
      <c r="B875" s="99"/>
      <c r="C875" s="102" t="s">
        <v>2935</v>
      </c>
      <c r="D875" s="99" t="s">
        <v>2930</v>
      </c>
      <c r="E875" s="113">
        <v>5</v>
      </c>
      <c r="F875" s="163"/>
    </row>
    <row r="876" spans="1:6" s="47" customFormat="1" ht="22.8">
      <c r="A876" s="93"/>
      <c r="B876" s="99"/>
      <c r="C876" s="102" t="s">
        <v>3013</v>
      </c>
      <c r="D876" s="99" t="s">
        <v>2930</v>
      </c>
      <c r="E876" s="113">
        <v>2</v>
      </c>
      <c r="F876" s="163"/>
    </row>
    <row r="877" spans="1:6">
      <c r="A877" s="43"/>
      <c r="B877" s="56"/>
      <c r="C877" s="92"/>
      <c r="D877" s="56"/>
      <c r="E877" s="84"/>
    </row>
    <row r="878" spans="1:6">
      <c r="A878" s="91" t="s">
        <v>3625</v>
      </c>
      <c r="B878" s="56">
        <v>70692</v>
      </c>
      <c r="C878" s="92" t="s">
        <v>431</v>
      </c>
      <c r="D878" s="56" t="s">
        <v>2930</v>
      </c>
      <c r="E878" s="84">
        <f>ROUND(SUM(E879),2)</f>
        <v>8</v>
      </c>
    </row>
    <row r="879" spans="1:6" s="47" customFormat="1" ht="22.8">
      <c r="A879" s="93"/>
      <c r="B879" s="99"/>
      <c r="C879" s="102" t="s">
        <v>2680</v>
      </c>
      <c r="D879" s="99" t="s">
        <v>2930</v>
      </c>
      <c r="E879" s="113">
        <v>8</v>
      </c>
      <c r="F879" s="163"/>
    </row>
    <row r="880" spans="1:6">
      <c r="A880" s="43"/>
      <c r="B880" s="56"/>
      <c r="C880" s="92"/>
      <c r="D880" s="56"/>
      <c r="E880" s="84"/>
    </row>
    <row r="881" spans="1:5" ht="26.4" hidden="1">
      <c r="A881" s="43"/>
      <c r="B881" s="56">
        <v>70695</v>
      </c>
      <c r="C881" s="92" t="s">
        <v>432</v>
      </c>
      <c r="D881" s="56" t="s">
        <v>2930</v>
      </c>
      <c r="E881" s="84"/>
    </row>
    <row r="882" spans="1:5" ht="26.4" hidden="1">
      <c r="A882" s="43"/>
      <c r="B882" s="56">
        <v>70696</v>
      </c>
      <c r="C882" s="92" t="s">
        <v>433</v>
      </c>
      <c r="D882" s="56" t="s">
        <v>2930</v>
      </c>
      <c r="E882" s="84"/>
    </row>
    <row r="883" spans="1:5" hidden="1">
      <c r="A883" s="43"/>
      <c r="B883" s="56">
        <v>70697</v>
      </c>
      <c r="C883" s="92" t="s">
        <v>434</v>
      </c>
      <c r="D883" s="56" t="s">
        <v>2930</v>
      </c>
      <c r="E883" s="84"/>
    </row>
    <row r="884" spans="1:5" ht="26.4" hidden="1">
      <c r="A884" s="43"/>
      <c r="B884" s="56">
        <v>70698</v>
      </c>
      <c r="C884" s="92" t="s">
        <v>435</v>
      </c>
      <c r="D884" s="56" t="s">
        <v>2930</v>
      </c>
      <c r="E884" s="84"/>
    </row>
    <row r="885" spans="1:5" hidden="1">
      <c r="A885" s="43"/>
      <c r="B885" s="56">
        <v>70699</v>
      </c>
      <c r="C885" s="92" t="s">
        <v>436</v>
      </c>
      <c r="D885" s="56" t="s">
        <v>2930</v>
      </c>
      <c r="E885" s="84"/>
    </row>
    <row r="886" spans="1:5" ht="26.4" hidden="1">
      <c r="A886" s="43"/>
      <c r="B886" s="56">
        <v>70700</v>
      </c>
      <c r="C886" s="92" t="s">
        <v>437</v>
      </c>
      <c r="D886" s="56" t="s">
        <v>2930</v>
      </c>
      <c r="E886" s="84"/>
    </row>
    <row r="887" spans="1:5" ht="26.4" hidden="1">
      <c r="A887" s="43"/>
      <c r="B887" s="56">
        <v>70701</v>
      </c>
      <c r="C887" s="92" t="s">
        <v>438</v>
      </c>
      <c r="D887" s="56" t="s">
        <v>2930</v>
      </c>
      <c r="E887" s="84"/>
    </row>
    <row r="888" spans="1:5" ht="26.4" hidden="1">
      <c r="A888" s="43"/>
      <c r="B888" s="56">
        <v>70702</v>
      </c>
      <c r="C888" s="92" t="s">
        <v>439</v>
      </c>
      <c r="D888" s="56" t="s">
        <v>2930</v>
      </c>
      <c r="E888" s="84"/>
    </row>
    <row r="889" spans="1:5" ht="26.4" hidden="1">
      <c r="A889" s="43"/>
      <c r="B889" s="56">
        <v>70703</v>
      </c>
      <c r="C889" s="92" t="s">
        <v>440</v>
      </c>
      <c r="D889" s="56" t="s">
        <v>2930</v>
      </c>
      <c r="E889" s="84"/>
    </row>
    <row r="890" spans="1:5" ht="26.4" hidden="1">
      <c r="A890" s="43"/>
      <c r="B890" s="56">
        <v>70705</v>
      </c>
      <c r="C890" s="92" t="s">
        <v>441</v>
      </c>
      <c r="D890" s="56" t="s">
        <v>2930</v>
      </c>
      <c r="E890" s="84"/>
    </row>
    <row r="891" spans="1:5" ht="26.4" hidden="1">
      <c r="A891" s="43"/>
      <c r="B891" s="56">
        <v>70706</v>
      </c>
      <c r="C891" s="92" t="s">
        <v>442</v>
      </c>
      <c r="D891" s="56" t="s">
        <v>2930</v>
      </c>
      <c r="E891" s="84"/>
    </row>
    <row r="892" spans="1:5" ht="26.4" hidden="1">
      <c r="A892" s="43"/>
      <c r="B892" s="56">
        <v>70707</v>
      </c>
      <c r="C892" s="92" t="s">
        <v>443</v>
      </c>
      <c r="D892" s="56" t="s">
        <v>2930</v>
      </c>
      <c r="E892" s="84"/>
    </row>
    <row r="893" spans="1:5" ht="26.4" hidden="1">
      <c r="A893" s="43"/>
      <c r="B893" s="56">
        <v>70708</v>
      </c>
      <c r="C893" s="92" t="s">
        <v>444</v>
      </c>
      <c r="D893" s="56" t="s">
        <v>2930</v>
      </c>
      <c r="E893" s="84"/>
    </row>
    <row r="894" spans="1:5" hidden="1">
      <c r="A894" s="43"/>
      <c r="B894" s="56">
        <v>70709</v>
      </c>
      <c r="C894" s="92" t="s">
        <v>445</v>
      </c>
      <c r="D894" s="56" t="s">
        <v>2930</v>
      </c>
      <c r="E894" s="84"/>
    </row>
    <row r="895" spans="1:5" hidden="1">
      <c r="A895" s="43"/>
      <c r="B895" s="56">
        <v>70710</v>
      </c>
      <c r="C895" s="92" t="s">
        <v>446</v>
      </c>
      <c r="D895" s="56" t="s">
        <v>2930</v>
      </c>
      <c r="E895" s="84"/>
    </row>
    <row r="896" spans="1:5" ht="26.4" hidden="1">
      <c r="A896" s="43"/>
      <c r="B896" s="56">
        <v>70711</v>
      </c>
      <c r="C896" s="92" t="s">
        <v>447</v>
      </c>
      <c r="D896" s="56" t="s">
        <v>2930</v>
      </c>
      <c r="E896" s="84"/>
    </row>
    <row r="897" spans="1:5" ht="26.4" hidden="1">
      <c r="A897" s="43"/>
      <c r="B897" s="56">
        <v>70712</v>
      </c>
      <c r="C897" s="92" t="s">
        <v>448</v>
      </c>
      <c r="D897" s="56" t="s">
        <v>2930</v>
      </c>
      <c r="E897" s="84"/>
    </row>
    <row r="898" spans="1:5" hidden="1">
      <c r="A898" s="43"/>
      <c r="B898" s="56">
        <v>70713</v>
      </c>
      <c r="C898" s="92" t="s">
        <v>449</v>
      </c>
      <c r="D898" s="56" t="s">
        <v>2930</v>
      </c>
      <c r="E898" s="84"/>
    </row>
    <row r="899" spans="1:5" hidden="1">
      <c r="A899" s="43"/>
      <c r="B899" s="56">
        <v>70714</v>
      </c>
      <c r="C899" s="92" t="s">
        <v>450</v>
      </c>
      <c r="D899" s="56" t="s">
        <v>2930</v>
      </c>
      <c r="E899" s="84"/>
    </row>
    <row r="900" spans="1:5" hidden="1">
      <c r="A900" s="43"/>
      <c r="B900" s="56">
        <v>70715</v>
      </c>
      <c r="C900" s="92" t="s">
        <v>451</v>
      </c>
      <c r="D900" s="56" t="s">
        <v>2930</v>
      </c>
      <c r="E900" s="84"/>
    </row>
    <row r="901" spans="1:5" hidden="1">
      <c r="A901" s="43"/>
      <c r="B901" s="56">
        <v>70716</v>
      </c>
      <c r="C901" s="92" t="s">
        <v>452</v>
      </c>
      <c r="D901" s="56" t="s">
        <v>2930</v>
      </c>
      <c r="E901" s="84"/>
    </row>
    <row r="902" spans="1:5" hidden="1">
      <c r="A902" s="43"/>
      <c r="B902" s="56">
        <v>70717</v>
      </c>
      <c r="C902" s="92" t="s">
        <v>453</v>
      </c>
      <c r="D902" s="56" t="s">
        <v>2930</v>
      </c>
      <c r="E902" s="84"/>
    </row>
    <row r="903" spans="1:5" ht="26.4" hidden="1">
      <c r="A903" s="43"/>
      <c r="B903" s="56">
        <v>70720</v>
      </c>
      <c r="C903" s="92" t="s">
        <v>454</v>
      </c>
      <c r="D903" s="56" t="s">
        <v>2930</v>
      </c>
      <c r="E903" s="84"/>
    </row>
    <row r="904" spans="1:5" hidden="1">
      <c r="A904" s="43"/>
      <c r="B904" s="56">
        <v>70725</v>
      </c>
      <c r="C904" s="92" t="s">
        <v>455</v>
      </c>
      <c r="D904" s="56" t="s">
        <v>2930</v>
      </c>
      <c r="E904" s="84"/>
    </row>
    <row r="905" spans="1:5" ht="26.4" hidden="1">
      <c r="A905" s="43"/>
      <c r="B905" s="56">
        <v>70760</v>
      </c>
      <c r="C905" s="92" t="s">
        <v>456</v>
      </c>
      <c r="D905" s="56" t="s">
        <v>136</v>
      </c>
      <c r="E905" s="84"/>
    </row>
    <row r="906" spans="1:5" ht="26.4" hidden="1">
      <c r="A906" s="43"/>
      <c r="B906" s="56">
        <v>70762</v>
      </c>
      <c r="C906" s="92" t="s">
        <v>457</v>
      </c>
      <c r="D906" s="56" t="s">
        <v>136</v>
      </c>
      <c r="E906" s="84"/>
    </row>
    <row r="907" spans="1:5" ht="26.4" hidden="1">
      <c r="A907" s="43"/>
      <c r="B907" s="56">
        <v>70763</v>
      </c>
      <c r="C907" s="92" t="s">
        <v>458</v>
      </c>
      <c r="D907" s="56" t="s">
        <v>136</v>
      </c>
      <c r="E907" s="84"/>
    </row>
    <row r="908" spans="1:5" ht="26.4" hidden="1">
      <c r="A908" s="43"/>
      <c r="B908" s="56">
        <v>70764</v>
      </c>
      <c r="C908" s="92" t="s">
        <v>459</v>
      </c>
      <c r="D908" s="56" t="s">
        <v>136</v>
      </c>
      <c r="E908" s="84"/>
    </row>
    <row r="909" spans="1:5" ht="26.4" hidden="1">
      <c r="A909" s="43"/>
      <c r="B909" s="56">
        <v>70765</v>
      </c>
      <c r="C909" s="92" t="s">
        <v>460</v>
      </c>
      <c r="D909" s="56" t="s">
        <v>136</v>
      </c>
      <c r="E909" s="84"/>
    </row>
    <row r="910" spans="1:5" hidden="1">
      <c r="A910" s="43"/>
      <c r="B910" s="56">
        <v>70769</v>
      </c>
      <c r="C910" s="92" t="s">
        <v>461</v>
      </c>
      <c r="D910" s="56" t="s">
        <v>2930</v>
      </c>
      <c r="E910" s="84"/>
    </row>
    <row r="911" spans="1:5" hidden="1">
      <c r="A911" s="43"/>
      <c r="B911" s="56">
        <v>70771</v>
      </c>
      <c r="C911" s="92" t="s">
        <v>462</v>
      </c>
      <c r="D911" s="56" t="s">
        <v>2930</v>
      </c>
      <c r="E911" s="84"/>
    </row>
    <row r="912" spans="1:5" ht="26.4" hidden="1">
      <c r="A912" s="43"/>
      <c r="B912" s="56">
        <v>70772</v>
      </c>
      <c r="C912" s="92" t="s">
        <v>463</v>
      </c>
      <c r="D912" s="56" t="s">
        <v>2930</v>
      </c>
      <c r="E912" s="84"/>
    </row>
    <row r="913" spans="1:5" hidden="1">
      <c r="A913" s="43"/>
      <c r="B913" s="56">
        <v>70776</v>
      </c>
      <c r="C913" s="92" t="s">
        <v>464</v>
      </c>
      <c r="D913" s="56" t="s">
        <v>2930</v>
      </c>
      <c r="E913" s="84"/>
    </row>
    <row r="914" spans="1:5" hidden="1">
      <c r="A914" s="43"/>
      <c r="B914" s="56">
        <v>70777</v>
      </c>
      <c r="C914" s="92" t="s">
        <v>465</v>
      </c>
      <c r="D914" s="56" t="s">
        <v>2930</v>
      </c>
      <c r="E914" s="84"/>
    </row>
    <row r="915" spans="1:5" hidden="1">
      <c r="A915" s="43"/>
      <c r="B915" s="56">
        <v>70778</v>
      </c>
      <c r="C915" s="92" t="s">
        <v>466</v>
      </c>
      <c r="D915" s="56" t="s">
        <v>2930</v>
      </c>
      <c r="E915" s="84"/>
    </row>
    <row r="916" spans="1:5" hidden="1">
      <c r="A916" s="43"/>
      <c r="B916" s="56">
        <v>70779</v>
      </c>
      <c r="C916" s="92" t="s">
        <v>467</v>
      </c>
      <c r="D916" s="56" t="s">
        <v>2930</v>
      </c>
      <c r="E916" s="84"/>
    </row>
    <row r="917" spans="1:5" hidden="1">
      <c r="A917" s="43"/>
      <c r="B917" s="56">
        <v>70790</v>
      </c>
      <c r="C917" s="92" t="s">
        <v>468</v>
      </c>
      <c r="D917" s="56" t="s">
        <v>2930</v>
      </c>
      <c r="E917" s="84"/>
    </row>
    <row r="918" spans="1:5" hidden="1">
      <c r="A918" s="43"/>
      <c r="B918" s="56">
        <v>70791</v>
      </c>
      <c r="C918" s="92" t="s">
        <v>469</v>
      </c>
      <c r="D918" s="56" t="s">
        <v>2930</v>
      </c>
      <c r="E918" s="84"/>
    </row>
    <row r="919" spans="1:5" hidden="1">
      <c r="A919" s="43"/>
      <c r="B919" s="56">
        <v>70820</v>
      </c>
      <c r="C919" s="92" t="s">
        <v>470</v>
      </c>
      <c r="D919" s="56" t="s">
        <v>2930</v>
      </c>
      <c r="E919" s="84"/>
    </row>
    <row r="920" spans="1:5" hidden="1">
      <c r="A920" s="43"/>
      <c r="B920" s="56">
        <v>70821</v>
      </c>
      <c r="C920" s="92" t="s">
        <v>471</v>
      </c>
      <c r="D920" s="56" t="s">
        <v>2930</v>
      </c>
      <c r="E920" s="84"/>
    </row>
    <row r="921" spans="1:5" hidden="1">
      <c r="A921" s="43"/>
      <c r="B921" s="56">
        <v>70822</v>
      </c>
      <c r="C921" s="92" t="s">
        <v>472</v>
      </c>
      <c r="D921" s="56" t="s">
        <v>2930</v>
      </c>
      <c r="E921" s="84"/>
    </row>
    <row r="922" spans="1:5" hidden="1">
      <c r="A922" s="43"/>
      <c r="B922" s="56">
        <v>70823</v>
      </c>
      <c r="C922" s="92" t="s">
        <v>473</v>
      </c>
      <c r="D922" s="56" t="s">
        <v>2930</v>
      </c>
      <c r="E922" s="84"/>
    </row>
    <row r="923" spans="1:5" hidden="1">
      <c r="A923" s="43"/>
      <c r="B923" s="56">
        <v>70835</v>
      </c>
      <c r="C923" s="92" t="s">
        <v>474</v>
      </c>
      <c r="D923" s="56" t="s">
        <v>2930</v>
      </c>
      <c r="E923" s="84"/>
    </row>
    <row r="924" spans="1:5" hidden="1">
      <c r="A924" s="43"/>
      <c r="B924" s="56">
        <v>70836</v>
      </c>
      <c r="C924" s="92" t="s">
        <v>475</v>
      </c>
      <c r="D924" s="56" t="s">
        <v>2930</v>
      </c>
      <c r="E924" s="84"/>
    </row>
    <row r="925" spans="1:5" hidden="1">
      <c r="A925" s="43"/>
      <c r="B925" s="56">
        <v>70837</v>
      </c>
      <c r="C925" s="92" t="s">
        <v>476</v>
      </c>
      <c r="D925" s="56" t="s">
        <v>2930</v>
      </c>
      <c r="E925" s="84"/>
    </row>
    <row r="926" spans="1:5" hidden="1">
      <c r="A926" s="43"/>
      <c r="B926" s="56">
        <v>70838</v>
      </c>
      <c r="C926" s="92" t="s">
        <v>477</v>
      </c>
      <c r="D926" s="56" t="s">
        <v>2930</v>
      </c>
      <c r="E926" s="84"/>
    </row>
    <row r="927" spans="1:5" hidden="1">
      <c r="A927" s="43"/>
      <c r="B927" s="56">
        <v>70839</v>
      </c>
      <c r="C927" s="92" t="s">
        <v>478</v>
      </c>
      <c r="D927" s="56" t="s">
        <v>2930</v>
      </c>
      <c r="E927" s="84"/>
    </row>
    <row r="928" spans="1:5" hidden="1">
      <c r="A928" s="43"/>
      <c r="B928" s="56">
        <v>70840</v>
      </c>
      <c r="C928" s="92" t="s">
        <v>479</v>
      </c>
      <c r="D928" s="56" t="s">
        <v>2930</v>
      </c>
      <c r="E928" s="84"/>
    </row>
    <row r="929" spans="1:5" hidden="1">
      <c r="A929" s="43"/>
      <c r="B929" s="56">
        <v>70842</v>
      </c>
      <c r="C929" s="92" t="s">
        <v>480</v>
      </c>
      <c r="D929" s="56" t="s">
        <v>2930</v>
      </c>
      <c r="E929" s="84"/>
    </row>
    <row r="930" spans="1:5" hidden="1">
      <c r="A930" s="43"/>
      <c r="B930" s="56">
        <v>70845</v>
      </c>
      <c r="C930" s="92" t="s">
        <v>481</v>
      </c>
      <c r="D930" s="56" t="s">
        <v>2930</v>
      </c>
      <c r="E930" s="84"/>
    </row>
    <row r="931" spans="1:5" hidden="1">
      <c r="A931" s="43"/>
      <c r="B931" s="56">
        <v>70857</v>
      </c>
      <c r="C931" s="92" t="s">
        <v>482</v>
      </c>
      <c r="D931" s="56" t="s">
        <v>2930</v>
      </c>
      <c r="E931" s="84"/>
    </row>
    <row r="932" spans="1:5" hidden="1">
      <c r="A932" s="43"/>
      <c r="B932" s="56">
        <v>70858</v>
      </c>
      <c r="C932" s="92" t="s">
        <v>483</v>
      </c>
      <c r="D932" s="56" t="s">
        <v>2930</v>
      </c>
      <c r="E932" s="84"/>
    </row>
    <row r="933" spans="1:5" hidden="1">
      <c r="A933" s="43"/>
      <c r="B933" s="56">
        <v>70859</v>
      </c>
      <c r="C933" s="92" t="s">
        <v>484</v>
      </c>
      <c r="D933" s="56" t="s">
        <v>2930</v>
      </c>
      <c r="E933" s="84"/>
    </row>
    <row r="934" spans="1:5" hidden="1">
      <c r="A934" s="43"/>
      <c r="B934" s="56">
        <v>70860</v>
      </c>
      <c r="C934" s="92" t="s">
        <v>485</v>
      </c>
      <c r="D934" s="56" t="s">
        <v>2930</v>
      </c>
      <c r="E934" s="84"/>
    </row>
    <row r="935" spans="1:5" hidden="1">
      <c r="A935" s="43"/>
      <c r="B935" s="56">
        <v>70861</v>
      </c>
      <c r="C935" s="92" t="s">
        <v>486</v>
      </c>
      <c r="D935" s="56" t="s">
        <v>2930</v>
      </c>
      <c r="E935" s="84"/>
    </row>
    <row r="936" spans="1:5" hidden="1">
      <c r="A936" s="43"/>
      <c r="B936" s="56">
        <v>70862</v>
      </c>
      <c r="C936" s="92" t="s">
        <v>487</v>
      </c>
      <c r="D936" s="56" t="s">
        <v>2930</v>
      </c>
      <c r="E936" s="84"/>
    </row>
    <row r="937" spans="1:5" hidden="1">
      <c r="A937" s="43"/>
      <c r="B937" s="56">
        <v>70880</v>
      </c>
      <c r="C937" s="92" t="s">
        <v>488</v>
      </c>
      <c r="D937" s="56" t="s">
        <v>2930</v>
      </c>
      <c r="E937" s="84"/>
    </row>
    <row r="938" spans="1:5" hidden="1">
      <c r="A938" s="43"/>
      <c r="B938" s="56">
        <v>70890</v>
      </c>
      <c r="C938" s="92" t="s">
        <v>489</v>
      </c>
      <c r="D938" s="56" t="s">
        <v>2930</v>
      </c>
      <c r="E938" s="84"/>
    </row>
    <row r="939" spans="1:5" hidden="1">
      <c r="A939" s="43"/>
      <c r="B939" s="56">
        <v>70891</v>
      </c>
      <c r="C939" s="92" t="s">
        <v>490</v>
      </c>
      <c r="D939" s="56" t="s">
        <v>2930</v>
      </c>
      <c r="E939" s="84"/>
    </row>
    <row r="940" spans="1:5" hidden="1">
      <c r="A940" s="43"/>
      <c r="B940" s="56">
        <v>70892</v>
      </c>
      <c r="C940" s="92" t="s">
        <v>491</v>
      </c>
      <c r="D940" s="56" t="s">
        <v>2930</v>
      </c>
      <c r="E940" s="84"/>
    </row>
    <row r="941" spans="1:5" hidden="1">
      <c r="A941" s="43"/>
      <c r="B941" s="56">
        <v>70893</v>
      </c>
      <c r="C941" s="92" t="s">
        <v>492</v>
      </c>
      <c r="D941" s="56" t="s">
        <v>2930</v>
      </c>
      <c r="E941" s="84"/>
    </row>
    <row r="942" spans="1:5" hidden="1">
      <c r="A942" s="43"/>
      <c r="B942" s="56">
        <v>70894</v>
      </c>
      <c r="C942" s="92" t="s">
        <v>493</v>
      </c>
      <c r="D942" s="56" t="s">
        <v>2930</v>
      </c>
      <c r="E942" s="84"/>
    </row>
    <row r="943" spans="1:5" hidden="1">
      <c r="A943" s="43"/>
      <c r="B943" s="56">
        <v>70910</v>
      </c>
      <c r="C943" s="92" t="s">
        <v>494</v>
      </c>
      <c r="D943" s="56" t="s">
        <v>2930</v>
      </c>
      <c r="E943" s="84"/>
    </row>
    <row r="944" spans="1:5" hidden="1">
      <c r="A944" s="43"/>
      <c r="B944" s="56">
        <v>70911</v>
      </c>
      <c r="C944" s="92" t="s">
        <v>495</v>
      </c>
      <c r="D944" s="56" t="s">
        <v>2930</v>
      </c>
      <c r="E944" s="84"/>
    </row>
    <row r="945" spans="1:6" hidden="1">
      <c r="A945" s="43"/>
      <c r="B945" s="56">
        <v>70920</v>
      </c>
      <c r="C945" s="92" t="s">
        <v>496</v>
      </c>
      <c r="D945" s="56" t="s">
        <v>2930</v>
      </c>
      <c r="E945" s="84"/>
    </row>
    <row r="946" spans="1:6" hidden="1">
      <c r="A946" s="43"/>
      <c r="B946" s="56">
        <v>70921</v>
      </c>
      <c r="C946" s="92" t="s">
        <v>497</v>
      </c>
      <c r="D946" s="56" t="s">
        <v>2930</v>
      </c>
      <c r="E946" s="84"/>
    </row>
    <row r="947" spans="1:6" hidden="1">
      <c r="A947" s="43"/>
      <c r="B947" s="56">
        <v>70922</v>
      </c>
      <c r="C947" s="92" t="s">
        <v>498</v>
      </c>
      <c r="D947" s="56" t="s">
        <v>2930</v>
      </c>
      <c r="E947" s="84"/>
      <c r="F947" s="169"/>
    </row>
    <row r="948" spans="1:6" hidden="1">
      <c r="A948" s="43"/>
      <c r="B948" s="56">
        <v>70924</v>
      </c>
      <c r="C948" s="92" t="s">
        <v>499</v>
      </c>
      <c r="D948" s="56" t="s">
        <v>2930</v>
      </c>
      <c r="E948" s="84"/>
    </row>
    <row r="949" spans="1:6" hidden="1">
      <c r="A949" s="43"/>
      <c r="B949" s="56">
        <v>70925</v>
      </c>
      <c r="C949" s="92" t="s">
        <v>500</v>
      </c>
      <c r="D949" s="56" t="s">
        <v>2930</v>
      </c>
      <c r="E949" s="84"/>
    </row>
    <row r="950" spans="1:6" hidden="1">
      <c r="A950" s="43"/>
      <c r="B950" s="56">
        <v>70926</v>
      </c>
      <c r="C950" s="92" t="s">
        <v>501</v>
      </c>
      <c r="D950" s="56" t="s">
        <v>2930</v>
      </c>
      <c r="E950" s="84"/>
    </row>
    <row r="951" spans="1:6" hidden="1">
      <c r="A951" s="43"/>
      <c r="B951" s="56">
        <v>70927</v>
      </c>
      <c r="C951" s="92" t="s">
        <v>502</v>
      </c>
      <c r="D951" s="56" t="s">
        <v>2930</v>
      </c>
      <c r="E951" s="84"/>
    </row>
    <row r="952" spans="1:6" hidden="1">
      <c r="A952" s="43"/>
      <c r="B952" s="56">
        <v>70928</v>
      </c>
      <c r="C952" s="92" t="s">
        <v>503</v>
      </c>
      <c r="D952" s="56" t="s">
        <v>2930</v>
      </c>
      <c r="E952" s="84"/>
    </row>
    <row r="953" spans="1:6">
      <c r="A953" s="91" t="s">
        <v>3626</v>
      </c>
      <c r="B953" s="56">
        <v>70929</v>
      </c>
      <c r="C953" s="92" t="s">
        <v>504</v>
      </c>
      <c r="D953" s="56" t="s">
        <v>2930</v>
      </c>
      <c r="E953" s="84">
        <f>ROUND(SUM(E954:E956),2)</f>
        <v>145</v>
      </c>
      <c r="F953" s="251"/>
    </row>
    <row r="954" spans="1:6" s="47" customFormat="1" ht="22.8">
      <c r="A954" s="93"/>
      <c r="B954" s="99"/>
      <c r="C954" s="102" t="s">
        <v>2936</v>
      </c>
      <c r="D954" s="99" t="s">
        <v>2930</v>
      </c>
      <c r="E954" s="113">
        <f>7+101</f>
        <v>108</v>
      </c>
      <c r="F954" s="165"/>
    </row>
    <row r="955" spans="1:6" s="47" customFormat="1" ht="22.8">
      <c r="A955" s="93"/>
      <c r="B955" s="99"/>
      <c r="C955" s="102" t="s">
        <v>2924</v>
      </c>
      <c r="D955" s="99" t="s">
        <v>2930</v>
      </c>
      <c r="E955" s="113">
        <f>19</f>
        <v>19</v>
      </c>
      <c r="F955" s="165"/>
    </row>
    <row r="956" spans="1:6" s="47" customFormat="1" ht="22.8">
      <c r="A956" s="93"/>
      <c r="B956" s="99"/>
      <c r="C956" s="102" t="s">
        <v>3014</v>
      </c>
      <c r="D956" s="99" t="s">
        <v>2930</v>
      </c>
      <c r="E956" s="113">
        <v>18</v>
      </c>
      <c r="F956" s="165"/>
    </row>
    <row r="957" spans="1:6">
      <c r="A957" s="43"/>
      <c r="B957" s="56"/>
      <c r="C957" s="92"/>
      <c r="D957" s="56"/>
      <c r="E957" s="84"/>
    </row>
    <row r="958" spans="1:6" hidden="1">
      <c r="A958" s="43"/>
      <c r="B958" s="56">
        <v>70930</v>
      </c>
      <c r="C958" s="92" t="s">
        <v>505</v>
      </c>
      <c r="D958" s="56" t="s">
        <v>2930</v>
      </c>
      <c r="E958" s="84"/>
    </row>
    <row r="959" spans="1:6">
      <c r="A959" s="91" t="s">
        <v>3627</v>
      </c>
      <c r="B959" s="56">
        <v>70931</v>
      </c>
      <c r="C959" s="92" t="s">
        <v>506</v>
      </c>
      <c r="D959" s="56" t="s">
        <v>2930</v>
      </c>
      <c r="E959" s="84">
        <f>ROUND(SUM(E960:E962),2)</f>
        <v>290</v>
      </c>
      <c r="F959" s="166"/>
    </row>
    <row r="960" spans="1:6">
      <c r="A960" s="93"/>
      <c r="B960" s="99"/>
      <c r="C960" s="102" t="s">
        <v>3015</v>
      </c>
      <c r="D960" s="99" t="s">
        <v>2930</v>
      </c>
      <c r="E960" s="113">
        <f>E954*2</f>
        <v>216</v>
      </c>
    </row>
    <row r="961" spans="1:6">
      <c r="A961" s="93"/>
      <c r="B961" s="99"/>
      <c r="C961" s="102" t="s">
        <v>3016</v>
      </c>
      <c r="D961" s="99" t="s">
        <v>2930</v>
      </c>
      <c r="E961" s="113">
        <f>E955*2</f>
        <v>38</v>
      </c>
    </row>
    <row r="962" spans="1:6">
      <c r="A962" s="93"/>
      <c r="B962" s="99"/>
      <c r="C962" s="102" t="s">
        <v>3017</v>
      </c>
      <c r="D962" s="99" t="s">
        <v>2930</v>
      </c>
      <c r="E962" s="113">
        <f>E956*2</f>
        <v>36</v>
      </c>
    </row>
    <row r="963" spans="1:6">
      <c r="A963" s="43"/>
      <c r="B963" s="56"/>
      <c r="C963" s="92"/>
      <c r="D963" s="56"/>
      <c r="E963" s="84"/>
    </row>
    <row r="964" spans="1:6" hidden="1">
      <c r="A964" s="43"/>
      <c r="B964" s="56">
        <v>70932</v>
      </c>
      <c r="C964" s="92" t="s">
        <v>507</v>
      </c>
      <c r="D964" s="56" t="s">
        <v>2930</v>
      </c>
      <c r="E964" s="84"/>
    </row>
    <row r="965" spans="1:6">
      <c r="A965" s="91" t="s">
        <v>3628</v>
      </c>
      <c r="B965" s="56">
        <v>70933</v>
      </c>
      <c r="C965" s="92" t="s">
        <v>508</v>
      </c>
      <c r="D965" s="56" t="s">
        <v>2930</v>
      </c>
      <c r="E965" s="84">
        <f>ROUND(SUM(E966:E968),2)</f>
        <v>417</v>
      </c>
      <c r="F965" s="166"/>
    </row>
    <row r="966" spans="1:6">
      <c r="A966" s="93"/>
      <c r="B966" s="99"/>
      <c r="C966" s="102" t="s">
        <v>2679</v>
      </c>
      <c r="D966" s="99" t="s">
        <v>2930</v>
      </c>
      <c r="E966" s="113">
        <f>E954*3</f>
        <v>324</v>
      </c>
    </row>
    <row r="967" spans="1:6">
      <c r="A967" s="93"/>
      <c r="B967" s="99"/>
      <c r="C967" s="102" t="s">
        <v>2678</v>
      </c>
      <c r="D967" s="99" t="s">
        <v>2930</v>
      </c>
      <c r="E967" s="113">
        <f>E955*3</f>
        <v>57</v>
      </c>
    </row>
    <row r="968" spans="1:6">
      <c r="A968" s="93"/>
      <c r="B968" s="99"/>
      <c r="C968" s="102" t="s">
        <v>3017</v>
      </c>
      <c r="D968" s="99" t="s">
        <v>2930</v>
      </c>
      <c r="E968" s="113">
        <f>E956*2</f>
        <v>36</v>
      </c>
    </row>
    <row r="969" spans="1:6">
      <c r="A969" s="43"/>
      <c r="B969" s="56"/>
      <c r="C969" s="92"/>
      <c r="D969" s="56"/>
      <c r="E969" s="84"/>
    </row>
    <row r="970" spans="1:6" hidden="1">
      <c r="A970" s="43"/>
      <c r="B970" s="56">
        <v>71016</v>
      </c>
      <c r="C970" s="92" t="s">
        <v>509</v>
      </c>
      <c r="D970" s="56" t="s">
        <v>2930</v>
      </c>
      <c r="E970" s="84"/>
    </row>
    <row r="971" spans="1:6" ht="26.4" hidden="1">
      <c r="A971" s="43"/>
      <c r="B971" s="56">
        <v>71020</v>
      </c>
      <c r="C971" s="92" t="s">
        <v>510</v>
      </c>
      <c r="D971" s="56" t="s">
        <v>2930</v>
      </c>
      <c r="E971" s="84"/>
    </row>
    <row r="972" spans="1:6" hidden="1">
      <c r="A972" s="43"/>
      <c r="B972" s="56">
        <v>71026</v>
      </c>
      <c r="C972" s="92" t="s">
        <v>511</v>
      </c>
      <c r="D972" s="56" t="s">
        <v>2930</v>
      </c>
      <c r="E972" s="84"/>
    </row>
    <row r="973" spans="1:6" hidden="1">
      <c r="A973" s="43"/>
      <c r="B973" s="56">
        <v>71030</v>
      </c>
      <c r="C973" s="92" t="s">
        <v>512</v>
      </c>
      <c r="D973" s="56" t="s">
        <v>2930</v>
      </c>
      <c r="E973" s="84"/>
    </row>
    <row r="974" spans="1:6" hidden="1">
      <c r="A974" s="43"/>
      <c r="B974" s="56">
        <v>71031</v>
      </c>
      <c r="C974" s="92" t="s">
        <v>513</v>
      </c>
      <c r="D974" s="56" t="s">
        <v>2930</v>
      </c>
      <c r="E974" s="84"/>
    </row>
    <row r="975" spans="1:6" hidden="1">
      <c r="A975" s="43"/>
      <c r="B975" s="56">
        <v>71032</v>
      </c>
      <c r="C975" s="92" t="s">
        <v>514</v>
      </c>
      <c r="D975" s="56" t="s">
        <v>2930</v>
      </c>
      <c r="E975" s="84"/>
    </row>
    <row r="976" spans="1:6" hidden="1">
      <c r="A976" s="43"/>
      <c r="B976" s="56">
        <v>71033</v>
      </c>
      <c r="C976" s="92" t="s">
        <v>515</v>
      </c>
      <c r="D976" s="56" t="s">
        <v>2930</v>
      </c>
      <c r="E976" s="84"/>
    </row>
    <row r="977" spans="1:5" hidden="1">
      <c r="A977" s="43"/>
      <c r="B977" s="56">
        <v>71034</v>
      </c>
      <c r="C977" s="92" t="s">
        <v>516</v>
      </c>
      <c r="D977" s="56" t="s">
        <v>2930</v>
      </c>
      <c r="E977" s="84"/>
    </row>
    <row r="978" spans="1:5" hidden="1">
      <c r="A978" s="43"/>
      <c r="B978" s="56">
        <v>71035</v>
      </c>
      <c r="C978" s="92" t="s">
        <v>517</v>
      </c>
      <c r="D978" s="56" t="s">
        <v>2930</v>
      </c>
      <c r="E978" s="84"/>
    </row>
    <row r="979" spans="1:5" hidden="1">
      <c r="A979" s="43"/>
      <c r="B979" s="56">
        <v>71036</v>
      </c>
      <c r="C979" s="92" t="s">
        <v>518</v>
      </c>
      <c r="D979" s="56" t="s">
        <v>2930</v>
      </c>
      <c r="E979" s="84"/>
    </row>
    <row r="980" spans="1:5" hidden="1">
      <c r="A980" s="43"/>
      <c r="B980" s="56">
        <v>71037</v>
      </c>
      <c r="C980" s="92" t="s">
        <v>519</v>
      </c>
      <c r="D980" s="56" t="s">
        <v>2930</v>
      </c>
      <c r="E980" s="84"/>
    </row>
    <row r="981" spans="1:5" hidden="1">
      <c r="A981" s="43"/>
      <c r="B981" s="56">
        <v>71038</v>
      </c>
      <c r="C981" s="92" t="s">
        <v>520</v>
      </c>
      <c r="D981" s="56" t="s">
        <v>2930</v>
      </c>
      <c r="E981" s="84"/>
    </row>
    <row r="982" spans="1:5" hidden="1">
      <c r="A982" s="43"/>
      <c r="B982" s="56">
        <v>71039</v>
      </c>
      <c r="C982" s="92" t="s">
        <v>521</v>
      </c>
      <c r="D982" s="56" t="s">
        <v>2930</v>
      </c>
      <c r="E982" s="84"/>
    </row>
    <row r="983" spans="1:5" hidden="1">
      <c r="A983" s="43"/>
      <c r="B983" s="56">
        <v>71040</v>
      </c>
      <c r="C983" s="92" t="s">
        <v>522</v>
      </c>
      <c r="D983" s="56" t="s">
        <v>2930</v>
      </c>
      <c r="E983" s="84"/>
    </row>
    <row r="984" spans="1:5" hidden="1">
      <c r="A984" s="43"/>
      <c r="B984" s="56">
        <v>71041</v>
      </c>
      <c r="C984" s="92" t="s">
        <v>523</v>
      </c>
      <c r="D984" s="56" t="s">
        <v>2930</v>
      </c>
      <c r="E984" s="84"/>
    </row>
    <row r="985" spans="1:5" ht="26.4" hidden="1">
      <c r="A985" s="43"/>
      <c r="B985" s="56">
        <v>71043</v>
      </c>
      <c r="C985" s="92" t="s">
        <v>524</v>
      </c>
      <c r="D985" s="56" t="s">
        <v>2930</v>
      </c>
      <c r="E985" s="84"/>
    </row>
    <row r="986" spans="1:5" ht="26.4" hidden="1">
      <c r="A986" s="43"/>
      <c r="B986" s="56">
        <v>71060</v>
      </c>
      <c r="C986" s="92" t="s">
        <v>525</v>
      </c>
      <c r="D986" s="56" t="s">
        <v>2930</v>
      </c>
      <c r="E986" s="84"/>
    </row>
    <row r="987" spans="1:5" ht="26.4" hidden="1">
      <c r="A987" s="43"/>
      <c r="B987" s="56">
        <v>71061</v>
      </c>
      <c r="C987" s="92" t="s">
        <v>526</v>
      </c>
      <c r="D987" s="56" t="s">
        <v>2930</v>
      </c>
      <c r="E987" s="84"/>
    </row>
    <row r="988" spans="1:5" ht="26.4" hidden="1">
      <c r="A988" s="43"/>
      <c r="B988" s="56">
        <v>71062</v>
      </c>
      <c r="C988" s="92" t="s">
        <v>527</v>
      </c>
      <c r="D988" s="56" t="s">
        <v>2930</v>
      </c>
      <c r="E988" s="84"/>
    </row>
    <row r="989" spans="1:5" ht="26.4" hidden="1">
      <c r="A989" s="43"/>
      <c r="B989" s="56">
        <v>71063</v>
      </c>
      <c r="C989" s="92" t="s">
        <v>528</v>
      </c>
      <c r="D989" s="56" t="s">
        <v>2930</v>
      </c>
      <c r="E989" s="84"/>
    </row>
    <row r="990" spans="1:5" ht="26.4" hidden="1">
      <c r="A990" s="43"/>
      <c r="B990" s="56">
        <v>71064</v>
      </c>
      <c r="C990" s="92" t="s">
        <v>529</v>
      </c>
      <c r="D990" s="56" t="s">
        <v>2930</v>
      </c>
      <c r="E990" s="84"/>
    </row>
    <row r="991" spans="1:5" ht="26.4" hidden="1">
      <c r="A991" s="43"/>
      <c r="B991" s="56">
        <v>71073</v>
      </c>
      <c r="C991" s="92" t="s">
        <v>530</v>
      </c>
      <c r="D991" s="56" t="s">
        <v>2930</v>
      </c>
      <c r="E991" s="84"/>
    </row>
    <row r="992" spans="1:5" ht="26.4" hidden="1">
      <c r="A992" s="43"/>
      <c r="B992" s="56">
        <v>71074</v>
      </c>
      <c r="C992" s="92" t="s">
        <v>531</v>
      </c>
      <c r="D992" s="56" t="s">
        <v>2930</v>
      </c>
      <c r="E992" s="84"/>
    </row>
    <row r="993" spans="1:5" ht="26.4" hidden="1">
      <c r="A993" s="43"/>
      <c r="B993" s="56">
        <v>71075</v>
      </c>
      <c r="C993" s="92" t="s">
        <v>532</v>
      </c>
      <c r="D993" s="56" t="s">
        <v>2930</v>
      </c>
      <c r="E993" s="84"/>
    </row>
    <row r="994" spans="1:5" ht="26.4" hidden="1">
      <c r="A994" s="43"/>
      <c r="B994" s="56">
        <v>71096</v>
      </c>
      <c r="C994" s="92" t="s">
        <v>533</v>
      </c>
      <c r="D994" s="56" t="s">
        <v>2930</v>
      </c>
      <c r="E994" s="84"/>
    </row>
    <row r="995" spans="1:5" ht="26.4" hidden="1">
      <c r="A995" s="43"/>
      <c r="B995" s="56">
        <v>71097</v>
      </c>
      <c r="C995" s="92" t="s">
        <v>534</v>
      </c>
      <c r="D995" s="56" t="s">
        <v>2930</v>
      </c>
      <c r="E995" s="84"/>
    </row>
    <row r="996" spans="1:5" ht="26.4" hidden="1">
      <c r="A996" s="43"/>
      <c r="B996" s="56">
        <v>71098</v>
      </c>
      <c r="C996" s="92" t="s">
        <v>535</v>
      </c>
      <c r="D996" s="56" t="s">
        <v>2930</v>
      </c>
      <c r="E996" s="84"/>
    </row>
    <row r="997" spans="1:5" ht="26.4" hidden="1">
      <c r="A997" s="43"/>
      <c r="B997" s="56">
        <v>71099</v>
      </c>
      <c r="C997" s="92" t="s">
        <v>536</v>
      </c>
      <c r="D997" s="56" t="s">
        <v>2930</v>
      </c>
      <c r="E997" s="84"/>
    </row>
    <row r="998" spans="1:5" ht="26.4" hidden="1">
      <c r="A998" s="43"/>
      <c r="B998" s="56">
        <v>71100</v>
      </c>
      <c r="C998" s="92" t="s">
        <v>537</v>
      </c>
      <c r="D998" s="56" t="s">
        <v>2930</v>
      </c>
      <c r="E998" s="84"/>
    </row>
    <row r="999" spans="1:5" ht="26.4" hidden="1">
      <c r="A999" s="43"/>
      <c r="B999" s="56">
        <v>71101</v>
      </c>
      <c r="C999" s="92" t="s">
        <v>538</v>
      </c>
      <c r="D999" s="56" t="s">
        <v>2930</v>
      </c>
      <c r="E999" s="84"/>
    </row>
    <row r="1000" spans="1:5" ht="26.4" hidden="1">
      <c r="A1000" s="43"/>
      <c r="B1000" s="56">
        <v>71102</v>
      </c>
      <c r="C1000" s="92" t="s">
        <v>539</v>
      </c>
      <c r="D1000" s="56" t="s">
        <v>2930</v>
      </c>
      <c r="E1000" s="84"/>
    </row>
    <row r="1001" spans="1:5" ht="26.4" hidden="1">
      <c r="A1001" s="43"/>
      <c r="B1001" s="56">
        <v>71103</v>
      </c>
      <c r="C1001" s="92" t="s">
        <v>540</v>
      </c>
      <c r="D1001" s="56" t="s">
        <v>2930</v>
      </c>
      <c r="E1001" s="84"/>
    </row>
    <row r="1002" spans="1:5" ht="26.4" hidden="1">
      <c r="A1002" s="43"/>
      <c r="B1002" s="56">
        <v>71104</v>
      </c>
      <c r="C1002" s="92" t="s">
        <v>541</v>
      </c>
      <c r="D1002" s="56" t="s">
        <v>2930</v>
      </c>
      <c r="E1002" s="84"/>
    </row>
    <row r="1003" spans="1:5" ht="26.4" hidden="1">
      <c r="A1003" s="43"/>
      <c r="B1003" s="56">
        <v>71105</v>
      </c>
      <c r="C1003" s="92" t="s">
        <v>542</v>
      </c>
      <c r="D1003" s="56" t="s">
        <v>2930</v>
      </c>
      <c r="E1003" s="84"/>
    </row>
    <row r="1004" spans="1:5" hidden="1">
      <c r="A1004" s="43"/>
      <c r="B1004" s="56">
        <v>71110</v>
      </c>
      <c r="C1004" s="92" t="s">
        <v>543</v>
      </c>
      <c r="D1004" s="56" t="s">
        <v>2930</v>
      </c>
      <c r="E1004" s="84"/>
    </row>
    <row r="1005" spans="1:5" hidden="1">
      <c r="A1005" s="43"/>
      <c r="B1005" s="56">
        <v>71111</v>
      </c>
      <c r="C1005" s="92" t="s">
        <v>544</v>
      </c>
      <c r="D1005" s="56" t="s">
        <v>2930</v>
      </c>
      <c r="E1005" s="84"/>
    </row>
    <row r="1006" spans="1:5" hidden="1">
      <c r="A1006" s="43"/>
      <c r="B1006" s="56">
        <v>71115</v>
      </c>
      <c r="C1006" s="92" t="s">
        <v>545</v>
      </c>
      <c r="D1006" s="56" t="s">
        <v>2930</v>
      </c>
      <c r="E1006" s="84"/>
    </row>
    <row r="1007" spans="1:5" hidden="1">
      <c r="A1007" s="43"/>
      <c r="B1007" s="56">
        <v>71120</v>
      </c>
      <c r="C1007" s="92" t="s">
        <v>546</v>
      </c>
      <c r="D1007" s="56" t="s">
        <v>2930</v>
      </c>
      <c r="E1007" s="84"/>
    </row>
    <row r="1008" spans="1:5" hidden="1">
      <c r="A1008" s="43"/>
      <c r="B1008" s="56">
        <v>71121</v>
      </c>
      <c r="C1008" s="92" t="s">
        <v>547</v>
      </c>
      <c r="D1008" s="56" t="s">
        <v>2930</v>
      </c>
      <c r="E1008" s="84"/>
    </row>
    <row r="1009" spans="1:6">
      <c r="A1009" s="91" t="s">
        <v>3629</v>
      </c>
      <c r="B1009" s="56">
        <v>71122</v>
      </c>
      <c r="C1009" s="92" t="s">
        <v>548</v>
      </c>
      <c r="D1009" s="56" t="s">
        <v>2930</v>
      </c>
      <c r="E1009" s="84">
        <f>ROUND(SUM(E1010:E1012),2)</f>
        <v>38</v>
      </c>
      <c r="F1009" s="166"/>
    </row>
    <row r="1010" spans="1:6" s="47" customFormat="1" ht="22.8">
      <c r="A1010" s="93"/>
      <c r="B1010" s="99"/>
      <c r="C1010" s="102" t="s">
        <v>2937</v>
      </c>
      <c r="D1010" s="99" t="s">
        <v>2930</v>
      </c>
      <c r="E1010" s="113">
        <f>12+8</f>
        <v>20</v>
      </c>
      <c r="F1010" s="163"/>
    </row>
    <row r="1011" spans="1:6" s="47" customFormat="1" ht="22.8">
      <c r="A1011" s="93"/>
      <c r="B1011" s="99"/>
      <c r="C1011" s="102" t="s">
        <v>2938</v>
      </c>
      <c r="D1011" s="99" t="s">
        <v>2930</v>
      </c>
      <c r="E1011" s="113">
        <v>12</v>
      </c>
      <c r="F1011" s="165"/>
    </row>
    <row r="1012" spans="1:6" s="47" customFormat="1" ht="22.8">
      <c r="A1012" s="93"/>
      <c r="B1012" s="99"/>
      <c r="C1012" s="102" t="s">
        <v>3018</v>
      </c>
      <c r="D1012" s="99" t="s">
        <v>2930</v>
      </c>
      <c r="E1012" s="113">
        <v>6</v>
      </c>
      <c r="F1012" s="165"/>
    </row>
    <row r="1013" spans="1:6">
      <c r="A1013" s="43"/>
      <c r="B1013" s="56"/>
      <c r="C1013" s="92"/>
      <c r="D1013" s="56"/>
      <c r="E1013" s="84"/>
    </row>
    <row r="1014" spans="1:6" hidden="1">
      <c r="A1014" s="43"/>
      <c r="B1014" s="56">
        <v>71123</v>
      </c>
      <c r="C1014" s="92" t="s">
        <v>549</v>
      </c>
      <c r="D1014" s="56" t="s">
        <v>2930</v>
      </c>
      <c r="E1014" s="84"/>
    </row>
    <row r="1015" spans="1:6" hidden="1">
      <c r="A1015" s="43"/>
      <c r="B1015" s="56">
        <v>71124</v>
      </c>
      <c r="C1015" s="92" t="s">
        <v>550</v>
      </c>
      <c r="D1015" s="56" t="s">
        <v>2930</v>
      </c>
      <c r="E1015" s="84"/>
    </row>
    <row r="1016" spans="1:6" hidden="1">
      <c r="A1016" s="43"/>
      <c r="B1016" s="56">
        <v>71125</v>
      </c>
      <c r="C1016" s="92" t="s">
        <v>551</v>
      </c>
      <c r="D1016" s="56" t="s">
        <v>2930</v>
      </c>
      <c r="E1016" s="84"/>
    </row>
    <row r="1017" spans="1:6" hidden="1">
      <c r="A1017" s="43"/>
      <c r="B1017" s="56">
        <v>71126</v>
      </c>
      <c r="C1017" s="92" t="s">
        <v>552</v>
      </c>
      <c r="D1017" s="56" t="s">
        <v>2930</v>
      </c>
      <c r="E1017" s="84"/>
    </row>
    <row r="1018" spans="1:6" hidden="1">
      <c r="A1018" s="43"/>
      <c r="B1018" s="56">
        <v>71127</v>
      </c>
      <c r="C1018" s="92" t="s">
        <v>553</v>
      </c>
      <c r="D1018" s="56" t="s">
        <v>2930</v>
      </c>
      <c r="E1018" s="84"/>
    </row>
    <row r="1019" spans="1:6" hidden="1">
      <c r="A1019" s="43"/>
      <c r="B1019" s="56">
        <v>71128</v>
      </c>
      <c r="C1019" s="92" t="s">
        <v>554</v>
      </c>
      <c r="D1019" s="56" t="s">
        <v>2930</v>
      </c>
      <c r="E1019" s="84"/>
    </row>
    <row r="1020" spans="1:6" hidden="1">
      <c r="A1020" s="43"/>
      <c r="B1020" s="56">
        <v>71140</v>
      </c>
      <c r="C1020" s="92" t="s">
        <v>555</v>
      </c>
      <c r="D1020" s="56" t="s">
        <v>2930</v>
      </c>
      <c r="E1020" s="84"/>
    </row>
    <row r="1021" spans="1:6" hidden="1">
      <c r="A1021" s="43"/>
      <c r="B1021" s="56">
        <v>71141</v>
      </c>
      <c r="C1021" s="92" t="s">
        <v>556</v>
      </c>
      <c r="D1021" s="56" t="s">
        <v>2930</v>
      </c>
      <c r="E1021" s="84"/>
    </row>
    <row r="1022" spans="1:6" hidden="1">
      <c r="A1022" s="43"/>
      <c r="B1022" s="56">
        <v>71142</v>
      </c>
      <c r="C1022" s="92" t="s">
        <v>557</v>
      </c>
      <c r="D1022" s="56" t="s">
        <v>2930</v>
      </c>
      <c r="E1022" s="84"/>
    </row>
    <row r="1023" spans="1:6" hidden="1">
      <c r="A1023" s="43"/>
      <c r="B1023" s="56">
        <v>71143</v>
      </c>
      <c r="C1023" s="92" t="s">
        <v>558</v>
      </c>
      <c r="D1023" s="56" t="s">
        <v>2930</v>
      </c>
      <c r="E1023" s="84"/>
    </row>
    <row r="1024" spans="1:6" hidden="1">
      <c r="A1024" s="43"/>
      <c r="B1024" s="56">
        <v>71144</v>
      </c>
      <c r="C1024" s="92" t="s">
        <v>559</v>
      </c>
      <c r="D1024" s="56" t="s">
        <v>2930</v>
      </c>
      <c r="E1024" s="84"/>
    </row>
    <row r="1025" spans="1:6" hidden="1">
      <c r="A1025" s="43"/>
      <c r="B1025" s="56">
        <v>71145</v>
      </c>
      <c r="C1025" s="92" t="s">
        <v>560</v>
      </c>
      <c r="D1025" s="56" t="s">
        <v>2930</v>
      </c>
      <c r="E1025" s="84"/>
    </row>
    <row r="1026" spans="1:6" hidden="1">
      <c r="A1026" s="43"/>
      <c r="B1026" s="56">
        <v>71146</v>
      </c>
      <c r="C1026" s="92" t="s">
        <v>561</v>
      </c>
      <c r="D1026" s="56" t="s">
        <v>2930</v>
      </c>
      <c r="E1026" s="84"/>
    </row>
    <row r="1027" spans="1:6" hidden="1">
      <c r="A1027" s="43"/>
      <c r="B1027" s="56">
        <v>71147</v>
      </c>
      <c r="C1027" s="92" t="s">
        <v>562</v>
      </c>
      <c r="D1027" s="56" t="s">
        <v>2930</v>
      </c>
      <c r="E1027" s="84"/>
    </row>
    <row r="1028" spans="1:6" hidden="1">
      <c r="A1028" s="43"/>
      <c r="B1028" s="56">
        <v>71148</v>
      </c>
      <c r="C1028" s="92" t="s">
        <v>563</v>
      </c>
      <c r="D1028" s="56" t="s">
        <v>2930</v>
      </c>
      <c r="E1028" s="84"/>
    </row>
    <row r="1029" spans="1:6" hidden="1">
      <c r="A1029" s="43"/>
      <c r="B1029" s="56">
        <v>71150</v>
      </c>
      <c r="C1029" s="92" t="s">
        <v>564</v>
      </c>
      <c r="D1029" s="56" t="s">
        <v>2930</v>
      </c>
      <c r="E1029" s="84"/>
    </row>
    <row r="1030" spans="1:6" hidden="1">
      <c r="A1030" s="43"/>
      <c r="B1030" s="56">
        <v>71151</v>
      </c>
      <c r="C1030" s="92" t="s">
        <v>565</v>
      </c>
      <c r="D1030" s="56" t="s">
        <v>2930</v>
      </c>
      <c r="E1030" s="84"/>
    </row>
    <row r="1031" spans="1:6" hidden="1">
      <c r="A1031" s="43"/>
      <c r="B1031" s="56">
        <v>71152</v>
      </c>
      <c r="C1031" s="92" t="s">
        <v>566</v>
      </c>
      <c r="D1031" s="56" t="s">
        <v>2930</v>
      </c>
      <c r="E1031" s="84"/>
    </row>
    <row r="1032" spans="1:6" hidden="1">
      <c r="A1032" s="43"/>
      <c r="B1032" s="56">
        <v>71153</v>
      </c>
      <c r="C1032" s="92" t="s">
        <v>567</v>
      </c>
      <c r="D1032" s="56" t="s">
        <v>2930</v>
      </c>
      <c r="E1032" s="84"/>
    </row>
    <row r="1033" spans="1:6" hidden="1">
      <c r="A1033" s="43"/>
      <c r="B1033" s="56">
        <v>71154</v>
      </c>
      <c r="C1033" s="92" t="s">
        <v>568</v>
      </c>
      <c r="D1033" s="56" t="s">
        <v>2930</v>
      </c>
      <c r="E1033" s="84"/>
    </row>
    <row r="1034" spans="1:6" hidden="1">
      <c r="A1034" s="43"/>
      <c r="B1034" s="56">
        <v>71155</v>
      </c>
      <c r="C1034" s="92" t="s">
        <v>569</v>
      </c>
      <c r="D1034" s="56" t="s">
        <v>2930</v>
      </c>
      <c r="E1034" s="84"/>
    </row>
    <row r="1035" spans="1:6" hidden="1">
      <c r="A1035" s="43"/>
      <c r="B1035" s="56">
        <v>71156</v>
      </c>
      <c r="C1035" s="92" t="s">
        <v>570</v>
      </c>
      <c r="D1035" s="56" t="s">
        <v>2930</v>
      </c>
      <c r="E1035" s="84"/>
    </row>
    <row r="1036" spans="1:6" hidden="1">
      <c r="A1036" s="43"/>
      <c r="B1036" s="56">
        <v>71157</v>
      </c>
      <c r="C1036" s="92" t="s">
        <v>571</v>
      </c>
      <c r="D1036" s="56" t="s">
        <v>2930</v>
      </c>
      <c r="E1036" s="84"/>
    </row>
    <row r="1037" spans="1:6" hidden="1">
      <c r="A1037" s="43"/>
      <c r="B1037" s="56">
        <v>71158</v>
      </c>
      <c r="C1037" s="92" t="s">
        <v>572</v>
      </c>
      <c r="D1037" s="56" t="s">
        <v>2930</v>
      </c>
      <c r="E1037" s="84"/>
    </row>
    <row r="1038" spans="1:6" hidden="1">
      <c r="A1038" s="43"/>
      <c r="B1038" s="56">
        <v>71159</v>
      </c>
      <c r="C1038" s="92" t="s">
        <v>573</v>
      </c>
      <c r="D1038" s="56" t="s">
        <v>2930</v>
      </c>
      <c r="E1038" s="84"/>
    </row>
    <row r="1039" spans="1:6" hidden="1">
      <c r="A1039" s="43"/>
      <c r="B1039" s="56">
        <v>71170</v>
      </c>
      <c r="C1039" s="92" t="s">
        <v>574</v>
      </c>
      <c r="D1039" s="56" t="s">
        <v>2930</v>
      </c>
      <c r="E1039" s="84"/>
    </row>
    <row r="1040" spans="1:6">
      <c r="A1040" s="233" t="s">
        <v>3630</v>
      </c>
      <c r="B1040" s="56">
        <v>71171</v>
      </c>
      <c r="C1040" s="92" t="s">
        <v>575</v>
      </c>
      <c r="D1040" s="56" t="s">
        <v>2930</v>
      </c>
      <c r="E1040" s="84">
        <f>ROUND(SUM(E1041:E1043),2)</f>
        <v>33</v>
      </c>
      <c r="F1040" s="166"/>
    </row>
    <row r="1041" spans="1:6" ht="22.8">
      <c r="A1041" s="93"/>
      <c r="B1041" s="99"/>
      <c r="C1041" s="102" t="s">
        <v>2992</v>
      </c>
      <c r="D1041" s="99" t="s">
        <v>2488</v>
      </c>
      <c r="E1041" s="113">
        <f>12</f>
        <v>12</v>
      </c>
    </row>
    <row r="1042" spans="1:6" ht="22.8">
      <c r="A1042" s="93"/>
      <c r="B1042" s="99"/>
      <c r="C1042" s="102" t="s">
        <v>2993</v>
      </c>
      <c r="D1042" s="99" t="s">
        <v>2488</v>
      </c>
      <c r="E1042" s="113">
        <v>3</v>
      </c>
    </row>
    <row r="1043" spans="1:6" ht="22.8">
      <c r="A1043" s="93"/>
      <c r="B1043" s="99"/>
      <c r="C1043" s="102" t="s">
        <v>2994</v>
      </c>
      <c r="D1043" s="99" t="s">
        <v>2488</v>
      </c>
      <c r="E1043" s="113">
        <v>18</v>
      </c>
    </row>
    <row r="1044" spans="1:6">
      <c r="A1044" s="43"/>
      <c r="B1044" s="56"/>
      <c r="C1044" s="92"/>
      <c r="D1044" s="56"/>
      <c r="E1044" s="84"/>
    </row>
    <row r="1045" spans="1:6" hidden="1">
      <c r="A1045" s="43"/>
      <c r="B1045" s="56">
        <v>71172</v>
      </c>
      <c r="C1045" s="92" t="s">
        <v>576</v>
      </c>
      <c r="D1045" s="56" t="s">
        <v>2930</v>
      </c>
      <c r="E1045" s="84"/>
    </row>
    <row r="1046" spans="1:6">
      <c r="A1046" s="91" t="s">
        <v>3631</v>
      </c>
      <c r="B1046" s="56">
        <v>71173</v>
      </c>
      <c r="C1046" s="92" t="s">
        <v>577</v>
      </c>
      <c r="D1046" s="56" t="s">
        <v>2930</v>
      </c>
      <c r="E1046" s="84">
        <f>ROUND(E1047,2)</f>
        <v>10</v>
      </c>
    </row>
    <row r="1047" spans="1:6" s="47" customFormat="1" ht="22.8">
      <c r="A1047" s="93"/>
      <c r="B1047" s="99"/>
      <c r="C1047" s="102" t="s">
        <v>2995</v>
      </c>
      <c r="D1047" s="99" t="s">
        <v>2488</v>
      </c>
      <c r="E1047" s="113">
        <v>10</v>
      </c>
      <c r="F1047" s="163"/>
    </row>
    <row r="1048" spans="1:6">
      <c r="A1048" s="43"/>
      <c r="B1048" s="56"/>
      <c r="C1048" s="92"/>
      <c r="D1048" s="56"/>
      <c r="E1048" s="84"/>
    </row>
    <row r="1049" spans="1:6" hidden="1">
      <c r="A1049" s="43"/>
      <c r="B1049" s="56">
        <v>71174</v>
      </c>
      <c r="C1049" s="92" t="s">
        <v>578</v>
      </c>
      <c r="D1049" s="56" t="s">
        <v>2930</v>
      </c>
      <c r="E1049" s="84"/>
    </row>
    <row r="1050" spans="1:6">
      <c r="A1050" s="91" t="s">
        <v>3632</v>
      </c>
      <c r="B1050" s="56">
        <v>71175</v>
      </c>
      <c r="C1050" s="92" t="s">
        <v>579</v>
      </c>
      <c r="D1050" s="56" t="s">
        <v>2930</v>
      </c>
      <c r="E1050" s="84">
        <f>ROUND(E1051,2)</f>
        <v>2</v>
      </c>
    </row>
    <row r="1051" spans="1:6" s="47" customFormat="1" ht="22.8">
      <c r="A1051" s="93"/>
      <c r="B1051" s="99"/>
      <c r="C1051" s="102" t="s">
        <v>2996</v>
      </c>
      <c r="D1051" s="99" t="s">
        <v>2488</v>
      </c>
      <c r="E1051" s="113">
        <v>2</v>
      </c>
      <c r="F1051" s="163"/>
    </row>
    <row r="1052" spans="1:6">
      <c r="A1052" s="43"/>
      <c r="B1052" s="56"/>
      <c r="C1052" s="92"/>
      <c r="D1052" s="56"/>
      <c r="E1052" s="84"/>
    </row>
    <row r="1053" spans="1:6" ht="14.4" hidden="1" customHeight="1">
      <c r="A1053" s="43"/>
      <c r="B1053" s="56">
        <v>71176</v>
      </c>
      <c r="C1053" s="92" t="s">
        <v>580</v>
      </c>
      <c r="D1053" s="56" t="s">
        <v>2930</v>
      </c>
      <c r="E1053" s="84"/>
    </row>
    <row r="1054" spans="1:6" hidden="1">
      <c r="A1054" s="43"/>
      <c r="B1054" s="56">
        <v>71177</v>
      </c>
      <c r="C1054" s="92" t="s">
        <v>581</v>
      </c>
      <c r="D1054" s="56" t="s">
        <v>2930</v>
      </c>
      <c r="E1054" s="84"/>
    </row>
    <row r="1055" spans="1:6" hidden="1">
      <c r="A1055" s="43"/>
      <c r="B1055" s="56">
        <v>71178</v>
      </c>
      <c r="C1055" s="92" t="s">
        <v>582</v>
      </c>
      <c r="D1055" s="56" t="s">
        <v>2930</v>
      </c>
      <c r="E1055" s="84"/>
    </row>
    <row r="1056" spans="1:6" hidden="1">
      <c r="A1056" s="43"/>
      <c r="B1056" s="56">
        <v>71179</v>
      </c>
      <c r="C1056" s="92" t="s">
        <v>583</v>
      </c>
      <c r="D1056" s="56" t="s">
        <v>2930</v>
      </c>
      <c r="E1056" s="84"/>
    </row>
    <row r="1057" spans="1:9" hidden="1">
      <c r="A1057" s="43"/>
      <c r="B1057" s="56">
        <v>71180</v>
      </c>
      <c r="C1057" s="92" t="s">
        <v>584</v>
      </c>
      <c r="D1057" s="56" t="s">
        <v>2930</v>
      </c>
      <c r="E1057" s="84"/>
      <c r="G1057" s="18" t="s">
        <v>2557</v>
      </c>
      <c r="H1057" s="18">
        <f>H1058*3/4</f>
        <v>19.049999999999997</v>
      </c>
    </row>
    <row r="1058" spans="1:9" hidden="1">
      <c r="A1058" s="43"/>
      <c r="B1058" s="56">
        <v>71181</v>
      </c>
      <c r="C1058" s="92" t="s">
        <v>585</v>
      </c>
      <c r="D1058" s="56" t="s">
        <v>2930</v>
      </c>
      <c r="E1058" s="84"/>
      <c r="G1058" s="18" t="s">
        <v>2547</v>
      </c>
      <c r="H1058" s="18">
        <v>25.4</v>
      </c>
    </row>
    <row r="1059" spans="1:9" ht="27.6" hidden="1">
      <c r="A1059" s="43"/>
      <c r="B1059" s="56">
        <v>71184</v>
      </c>
      <c r="C1059" s="92" t="s">
        <v>586</v>
      </c>
      <c r="D1059" s="56" t="s">
        <v>2930</v>
      </c>
      <c r="E1059" s="84"/>
      <c r="G1059" s="35" t="s">
        <v>2548</v>
      </c>
      <c r="H1059" s="18">
        <f>H1058*1+(H1058*1/2)</f>
        <v>38.099999999999994</v>
      </c>
    </row>
    <row r="1060" spans="1:9" ht="27.6" hidden="1">
      <c r="A1060" s="43"/>
      <c r="B1060" s="56">
        <v>71186</v>
      </c>
      <c r="C1060" s="92" t="s">
        <v>587</v>
      </c>
      <c r="D1060" s="56" t="s">
        <v>2930</v>
      </c>
      <c r="E1060" s="84"/>
      <c r="G1060" s="18" t="s">
        <v>2549</v>
      </c>
      <c r="H1060" s="18">
        <f>H1058*1+(H1058*1/4)</f>
        <v>31.75</v>
      </c>
    </row>
    <row r="1061" spans="1:9" ht="26.4" hidden="1">
      <c r="A1061" s="43"/>
      <c r="B1061" s="56">
        <v>71190</v>
      </c>
      <c r="C1061" s="92" t="s">
        <v>588</v>
      </c>
      <c r="D1061" s="56" t="s">
        <v>136</v>
      </c>
      <c r="E1061" s="84"/>
      <c r="G1061" s="18" t="s">
        <v>2550</v>
      </c>
      <c r="H1061" s="18">
        <f>H1058*1+(H1058*1)</f>
        <v>50.8</v>
      </c>
    </row>
    <row r="1062" spans="1:9" ht="26.4" hidden="1">
      <c r="A1062" s="43"/>
      <c r="B1062" s="56">
        <v>71193</v>
      </c>
      <c r="C1062" s="92" t="s">
        <v>589</v>
      </c>
      <c r="D1062" s="56" t="s">
        <v>136</v>
      </c>
      <c r="E1062" s="84"/>
    </row>
    <row r="1063" spans="1:9" ht="26.4" hidden="1">
      <c r="A1063" s="43"/>
      <c r="B1063" s="56">
        <v>71194</v>
      </c>
      <c r="C1063" s="92" t="s">
        <v>590</v>
      </c>
      <c r="D1063" s="56" t="s">
        <v>136</v>
      </c>
      <c r="E1063" s="84"/>
    </row>
    <row r="1064" spans="1:9" ht="26.4">
      <c r="A1064" s="91" t="s">
        <v>3633</v>
      </c>
      <c r="B1064" s="56">
        <v>71195</v>
      </c>
      <c r="C1064" s="92" t="s">
        <v>591</v>
      </c>
      <c r="D1064" s="56" t="s">
        <v>136</v>
      </c>
      <c r="E1064" s="84">
        <f>ROUND(SUM(E1065:E1066),2)</f>
        <v>465.08</v>
      </c>
      <c r="F1064" s="166"/>
    </row>
    <row r="1065" spans="1:9" s="47" customFormat="1" ht="22.8">
      <c r="A1065" s="93"/>
      <c r="B1065" s="99"/>
      <c r="C1065" s="102" t="s">
        <v>3004</v>
      </c>
      <c r="D1065" s="99" t="s">
        <v>136</v>
      </c>
      <c r="E1065" s="113">
        <v>366.78</v>
      </c>
      <c r="F1065" s="165"/>
    </row>
    <row r="1066" spans="1:9" s="47" customFormat="1" ht="25.2" customHeight="1">
      <c r="A1066" s="93"/>
      <c r="B1066" s="99"/>
      <c r="C1066" s="102" t="s">
        <v>2991</v>
      </c>
      <c r="D1066" s="99" t="s">
        <v>136</v>
      </c>
      <c r="E1066" s="113">
        <f>97.6+0.7</f>
        <v>98.3</v>
      </c>
      <c r="F1066" s="163"/>
    </row>
    <row r="1067" spans="1:9" s="47" customFormat="1" ht="12">
      <c r="A1067" s="93"/>
      <c r="B1067" s="99"/>
      <c r="C1067" s="102"/>
      <c r="D1067" s="99"/>
      <c r="E1067" s="113"/>
      <c r="F1067" s="163"/>
    </row>
    <row r="1068" spans="1:9" ht="26.4">
      <c r="A1068" s="91" t="s">
        <v>3634</v>
      </c>
      <c r="B1068" s="56">
        <v>71196</v>
      </c>
      <c r="C1068" s="92" t="s">
        <v>592</v>
      </c>
      <c r="D1068" s="56" t="s">
        <v>136</v>
      </c>
      <c r="E1068" s="84">
        <f>ROUND(SUM(E1069),2)</f>
        <v>5.3</v>
      </c>
    </row>
    <row r="1069" spans="1:9" ht="22.8">
      <c r="A1069" s="43"/>
      <c r="B1069" s="56"/>
      <c r="C1069" s="102" t="s">
        <v>3006</v>
      </c>
      <c r="D1069" s="99" t="s">
        <v>136</v>
      </c>
      <c r="E1069" s="113">
        <v>5.3</v>
      </c>
    </row>
    <row r="1070" spans="1:9">
      <c r="A1070" s="43"/>
      <c r="B1070" s="56"/>
      <c r="C1070" s="92"/>
      <c r="D1070" s="56"/>
      <c r="E1070" s="84"/>
    </row>
    <row r="1071" spans="1:9" ht="26.4" hidden="1">
      <c r="A1071" s="43"/>
      <c r="B1071" s="56">
        <v>71197</v>
      </c>
      <c r="C1071" s="92" t="s">
        <v>593</v>
      </c>
      <c r="D1071" s="56" t="s">
        <v>136</v>
      </c>
      <c r="E1071" s="84"/>
      <c r="G1071" s="18">
        <v>1</v>
      </c>
      <c r="H1071" s="18">
        <v>1.5</v>
      </c>
      <c r="I1071" s="18">
        <v>3</v>
      </c>
    </row>
    <row r="1072" spans="1:9" ht="26.4" hidden="1">
      <c r="A1072" s="43"/>
      <c r="B1072" s="56">
        <v>71198</v>
      </c>
      <c r="C1072" s="92" t="s">
        <v>594</v>
      </c>
      <c r="D1072" s="56" t="s">
        <v>136</v>
      </c>
      <c r="E1072" s="84"/>
      <c r="G1072" s="18">
        <f>G1071*G1068</f>
        <v>0</v>
      </c>
      <c r="H1072" s="18">
        <f>H1071*G1068</f>
        <v>0</v>
      </c>
      <c r="I1072" s="18">
        <f>G1068*I1071</f>
        <v>0</v>
      </c>
    </row>
    <row r="1073" spans="1:6" ht="26.4">
      <c r="A1073" s="91" t="s">
        <v>3635</v>
      </c>
      <c r="B1073" s="56">
        <v>71199</v>
      </c>
      <c r="C1073" s="92" t="s">
        <v>595</v>
      </c>
      <c r="D1073" s="56" t="s">
        <v>136</v>
      </c>
      <c r="E1073" s="84">
        <f>ROUND(E1074,2)</f>
        <v>7.87</v>
      </c>
    </row>
    <row r="1074" spans="1:6" s="47" customFormat="1" ht="22.8">
      <c r="A1074" s="93"/>
      <c r="B1074" s="99"/>
      <c r="C1074" s="102" t="s">
        <v>3005</v>
      </c>
      <c r="D1074" s="99" t="s">
        <v>136</v>
      </c>
      <c r="E1074" s="113">
        <v>7.87</v>
      </c>
      <c r="F1074" s="163"/>
    </row>
    <row r="1075" spans="1:6">
      <c r="A1075" s="43"/>
      <c r="B1075" s="56"/>
      <c r="C1075" s="92"/>
      <c r="D1075" s="56" t="s">
        <v>136</v>
      </c>
      <c r="E1075" s="84"/>
    </row>
    <row r="1076" spans="1:6" hidden="1">
      <c r="A1076" s="43"/>
      <c r="B1076" s="56">
        <v>71200</v>
      </c>
      <c r="C1076" s="92" t="s">
        <v>596</v>
      </c>
      <c r="D1076" s="56" t="s">
        <v>136</v>
      </c>
      <c r="E1076" s="84"/>
    </row>
    <row r="1077" spans="1:6" hidden="1">
      <c r="A1077" s="43"/>
      <c r="B1077" s="56">
        <v>71201</v>
      </c>
      <c r="C1077" s="92" t="s">
        <v>597</v>
      </c>
      <c r="D1077" s="56" t="s">
        <v>136</v>
      </c>
      <c r="E1077" s="84"/>
    </row>
    <row r="1078" spans="1:6" hidden="1">
      <c r="A1078" s="43"/>
      <c r="B1078" s="56">
        <v>71202</v>
      </c>
      <c r="C1078" s="92" t="s">
        <v>598</v>
      </c>
      <c r="D1078" s="56" t="s">
        <v>136</v>
      </c>
      <c r="E1078" s="84"/>
    </row>
    <row r="1079" spans="1:6" hidden="1">
      <c r="A1079" s="43"/>
      <c r="B1079" s="56">
        <v>71203</v>
      </c>
      <c r="C1079" s="92" t="s">
        <v>599</v>
      </c>
      <c r="D1079" s="56" t="s">
        <v>136</v>
      </c>
      <c r="E1079" s="84"/>
    </row>
    <row r="1080" spans="1:6" hidden="1">
      <c r="A1080" s="43"/>
      <c r="B1080" s="56">
        <v>71204</v>
      </c>
      <c r="C1080" s="92" t="s">
        <v>600</v>
      </c>
      <c r="D1080" s="56" t="s">
        <v>136</v>
      </c>
      <c r="E1080" s="84"/>
    </row>
    <row r="1081" spans="1:6" hidden="1">
      <c r="A1081" s="43"/>
      <c r="B1081" s="56">
        <v>71205</v>
      </c>
      <c r="C1081" s="92" t="s">
        <v>601</v>
      </c>
      <c r="D1081" s="56" t="s">
        <v>136</v>
      </c>
      <c r="E1081" s="84"/>
    </row>
    <row r="1082" spans="1:6" hidden="1">
      <c r="A1082" s="43"/>
      <c r="B1082" s="56">
        <v>71206</v>
      </c>
      <c r="C1082" s="92" t="s">
        <v>602</v>
      </c>
      <c r="D1082" s="56" t="s">
        <v>136</v>
      </c>
      <c r="E1082" s="84"/>
    </row>
    <row r="1083" spans="1:6" hidden="1">
      <c r="A1083" s="43"/>
      <c r="B1083" s="56">
        <v>71207</v>
      </c>
      <c r="C1083" s="92" t="s">
        <v>603</v>
      </c>
      <c r="D1083" s="56" t="s">
        <v>136</v>
      </c>
      <c r="E1083" s="84"/>
    </row>
    <row r="1084" spans="1:6" hidden="1">
      <c r="A1084" s="43"/>
      <c r="B1084" s="56">
        <v>71208</v>
      </c>
      <c r="C1084" s="92" t="s">
        <v>604</v>
      </c>
      <c r="D1084" s="56" t="s">
        <v>136</v>
      </c>
      <c r="E1084" s="84"/>
    </row>
    <row r="1085" spans="1:6" ht="26.4" hidden="1">
      <c r="A1085" s="43"/>
      <c r="B1085" s="56">
        <v>71210</v>
      </c>
      <c r="C1085" s="92" t="s">
        <v>605</v>
      </c>
      <c r="D1085" s="56" t="s">
        <v>136</v>
      </c>
      <c r="E1085" s="84"/>
    </row>
    <row r="1086" spans="1:6" ht="26.4" hidden="1">
      <c r="A1086" s="43"/>
      <c r="B1086" s="56">
        <v>71211</v>
      </c>
      <c r="C1086" s="92" t="s">
        <v>606</v>
      </c>
      <c r="D1086" s="56" t="s">
        <v>136</v>
      </c>
      <c r="E1086" s="84"/>
    </row>
    <row r="1087" spans="1:6" ht="26.4" hidden="1">
      <c r="A1087" s="43"/>
      <c r="B1087" s="56">
        <v>71212</v>
      </c>
      <c r="C1087" s="92" t="s">
        <v>607</v>
      </c>
      <c r="D1087" s="56" t="s">
        <v>136</v>
      </c>
      <c r="E1087" s="84"/>
    </row>
    <row r="1088" spans="1:6" ht="26.4" hidden="1">
      <c r="A1088" s="43"/>
      <c r="B1088" s="56">
        <v>71213</v>
      </c>
      <c r="C1088" s="92" t="s">
        <v>608</v>
      </c>
      <c r="D1088" s="56" t="s">
        <v>136</v>
      </c>
      <c r="E1088" s="84"/>
    </row>
    <row r="1089" spans="1:6" ht="26.4" hidden="1">
      <c r="A1089" s="43"/>
      <c r="B1089" s="56">
        <v>71214</v>
      </c>
      <c r="C1089" s="92" t="s">
        <v>609</v>
      </c>
      <c r="D1089" s="56" t="s">
        <v>136</v>
      </c>
      <c r="E1089" s="84"/>
    </row>
    <row r="1090" spans="1:6" ht="26.4" hidden="1">
      <c r="A1090" s="43"/>
      <c r="B1090" s="56">
        <v>71215</v>
      </c>
      <c r="C1090" s="92" t="s">
        <v>610</v>
      </c>
      <c r="D1090" s="56" t="s">
        <v>136</v>
      </c>
      <c r="E1090" s="84"/>
    </row>
    <row r="1091" spans="1:6" ht="26.4" hidden="1">
      <c r="A1091" s="43"/>
      <c r="B1091" s="56">
        <v>71216</v>
      </c>
      <c r="C1091" s="92" t="s">
        <v>611</v>
      </c>
      <c r="D1091" s="56" t="s">
        <v>136</v>
      </c>
      <c r="E1091" s="84"/>
    </row>
    <row r="1092" spans="1:6" ht="26.4" hidden="1">
      <c r="A1092" s="43"/>
      <c r="B1092" s="56">
        <v>71217</v>
      </c>
      <c r="C1092" s="92" t="s">
        <v>612</v>
      </c>
      <c r="D1092" s="56" t="s">
        <v>136</v>
      </c>
      <c r="E1092" s="84"/>
    </row>
    <row r="1093" spans="1:6" ht="26.4" hidden="1">
      <c r="A1093" s="43"/>
      <c r="B1093" s="56">
        <v>71218</v>
      </c>
      <c r="C1093" s="92" t="s">
        <v>613</v>
      </c>
      <c r="D1093" s="56" t="s">
        <v>136</v>
      </c>
      <c r="E1093" s="84"/>
    </row>
    <row r="1094" spans="1:6" hidden="1">
      <c r="A1094" s="43"/>
      <c r="B1094" s="56">
        <v>71230</v>
      </c>
      <c r="C1094" s="92" t="s">
        <v>614</v>
      </c>
      <c r="D1094" s="56" t="s">
        <v>136</v>
      </c>
      <c r="E1094" s="84"/>
    </row>
    <row r="1095" spans="1:6" hidden="1">
      <c r="A1095" s="43"/>
      <c r="B1095" s="56">
        <v>71231</v>
      </c>
      <c r="C1095" s="92" t="s">
        <v>615</v>
      </c>
      <c r="D1095" s="56" t="s">
        <v>136</v>
      </c>
      <c r="E1095" s="84"/>
    </row>
    <row r="1096" spans="1:6" hidden="1">
      <c r="A1096" s="43"/>
      <c r="B1096" s="56">
        <v>71232</v>
      </c>
      <c r="C1096" s="92" t="s">
        <v>616</v>
      </c>
      <c r="D1096" s="56" t="s">
        <v>136</v>
      </c>
      <c r="E1096" s="84"/>
    </row>
    <row r="1097" spans="1:6" hidden="1">
      <c r="A1097" s="43"/>
      <c r="B1097" s="56">
        <v>71250</v>
      </c>
      <c r="C1097" s="92" t="s">
        <v>617</v>
      </c>
      <c r="D1097" s="56" t="s">
        <v>136</v>
      </c>
      <c r="E1097" s="84"/>
    </row>
    <row r="1098" spans="1:6" hidden="1">
      <c r="A1098" s="43"/>
      <c r="B1098" s="56">
        <v>71251</v>
      </c>
      <c r="C1098" s="92" t="s">
        <v>618</v>
      </c>
      <c r="D1098" s="56" t="s">
        <v>136</v>
      </c>
      <c r="E1098" s="84"/>
    </row>
    <row r="1099" spans="1:6">
      <c r="A1099" s="91" t="s">
        <v>3782</v>
      </c>
      <c r="B1099" s="56">
        <v>71252</v>
      </c>
      <c r="C1099" s="92" t="s">
        <v>619</v>
      </c>
      <c r="D1099" s="56" t="s">
        <v>136</v>
      </c>
      <c r="E1099" s="84">
        <f>ROUND(SUM(E1100:E1101),2)</f>
        <v>326.55</v>
      </c>
      <c r="F1099" s="166"/>
    </row>
    <row r="1100" spans="1:6" ht="22.8">
      <c r="A1100" s="93"/>
      <c r="B1100" s="99"/>
      <c r="C1100" s="102" t="s">
        <v>3007</v>
      </c>
      <c r="D1100" s="99" t="s">
        <v>136</v>
      </c>
      <c r="E1100" s="113">
        <v>231.45</v>
      </c>
    </row>
    <row r="1101" spans="1:6" ht="23.4" customHeight="1">
      <c r="A1101" s="93"/>
      <c r="B1101" s="99"/>
      <c r="C1101" s="102" t="s">
        <v>3033</v>
      </c>
      <c r="D1101" s="99" t="s">
        <v>136</v>
      </c>
      <c r="E1101" s="113">
        <f>86.3+8.8</f>
        <v>95.1</v>
      </c>
    </row>
    <row r="1102" spans="1:6">
      <c r="A1102" s="43"/>
      <c r="B1102" s="56"/>
      <c r="C1102" s="92"/>
      <c r="D1102" s="56"/>
      <c r="E1102" s="84"/>
    </row>
    <row r="1103" spans="1:6" hidden="1">
      <c r="A1103" s="43"/>
      <c r="B1103" s="56">
        <v>71253</v>
      </c>
      <c r="C1103" s="92" t="s">
        <v>620</v>
      </c>
      <c r="D1103" s="56" t="s">
        <v>136</v>
      </c>
      <c r="E1103" s="84"/>
    </row>
    <row r="1104" spans="1:6">
      <c r="A1104" s="91" t="s">
        <v>3783</v>
      </c>
      <c r="B1104" s="56">
        <v>71254</v>
      </c>
      <c r="C1104" s="92" t="s">
        <v>621</v>
      </c>
      <c r="D1104" s="56" t="s">
        <v>136</v>
      </c>
      <c r="E1104" s="84">
        <f>ROUND(E1105,2)</f>
        <v>11.22</v>
      </c>
    </row>
    <row r="1105" spans="1:6" s="47" customFormat="1" ht="22.8">
      <c r="A1105" s="93"/>
      <c r="B1105" s="99"/>
      <c r="C1105" s="102" t="s">
        <v>3008</v>
      </c>
      <c r="D1105" s="99" t="s">
        <v>136</v>
      </c>
      <c r="E1105" s="113">
        <v>11.22</v>
      </c>
      <c r="F1105" s="165"/>
    </row>
    <row r="1106" spans="1:6">
      <c r="A1106" s="43"/>
      <c r="B1106" s="56"/>
      <c r="C1106" s="92"/>
      <c r="D1106" s="56"/>
      <c r="E1106" s="84"/>
    </row>
    <row r="1107" spans="1:6" hidden="1">
      <c r="A1107" s="43"/>
      <c r="B1107" s="56">
        <v>71255</v>
      </c>
      <c r="C1107" s="92" t="s">
        <v>622</v>
      </c>
      <c r="D1107" s="56" t="s">
        <v>136</v>
      </c>
      <c r="E1107" s="84"/>
    </row>
    <row r="1108" spans="1:6" hidden="1">
      <c r="A1108" s="43"/>
      <c r="B1108" s="56">
        <v>71256</v>
      </c>
      <c r="C1108" s="92" t="s">
        <v>623</v>
      </c>
      <c r="D1108" s="56" t="s">
        <v>136</v>
      </c>
      <c r="E1108" s="84"/>
    </row>
    <row r="1109" spans="1:6" hidden="1">
      <c r="A1109" s="43"/>
      <c r="B1109" s="56">
        <v>71257</v>
      </c>
      <c r="C1109" s="92" t="s">
        <v>624</v>
      </c>
      <c r="D1109" s="56" t="s">
        <v>136</v>
      </c>
      <c r="E1109" s="84"/>
    </row>
    <row r="1110" spans="1:6" hidden="1">
      <c r="A1110" s="43"/>
      <c r="B1110" s="56">
        <v>71258</v>
      </c>
      <c r="C1110" s="92" t="s">
        <v>625</v>
      </c>
      <c r="D1110" s="56" t="s">
        <v>136</v>
      </c>
      <c r="E1110" s="84"/>
    </row>
    <row r="1111" spans="1:6" hidden="1">
      <c r="A1111" s="43"/>
      <c r="B1111" s="56">
        <v>71267</v>
      </c>
      <c r="C1111" s="92" t="s">
        <v>626</v>
      </c>
      <c r="D1111" s="56" t="s">
        <v>2930</v>
      </c>
      <c r="E1111" s="84"/>
    </row>
    <row r="1112" spans="1:6" hidden="1">
      <c r="A1112" s="43"/>
      <c r="B1112" s="56">
        <v>71268</v>
      </c>
      <c r="C1112" s="92" t="s">
        <v>627</v>
      </c>
      <c r="D1112" s="56" t="s">
        <v>2930</v>
      </c>
      <c r="E1112" s="84"/>
    </row>
    <row r="1113" spans="1:6" hidden="1">
      <c r="A1113" s="43"/>
      <c r="B1113" s="56">
        <v>71270</v>
      </c>
      <c r="C1113" s="92" t="s">
        <v>628</v>
      </c>
      <c r="D1113" s="56" t="s">
        <v>2930</v>
      </c>
      <c r="E1113" s="84"/>
    </row>
    <row r="1114" spans="1:6" hidden="1">
      <c r="A1114" s="43"/>
      <c r="B1114" s="56">
        <v>71271</v>
      </c>
      <c r="C1114" s="92" t="s">
        <v>629</v>
      </c>
      <c r="D1114" s="56" t="s">
        <v>2930</v>
      </c>
      <c r="E1114" s="84"/>
    </row>
    <row r="1115" spans="1:6" hidden="1">
      <c r="A1115" s="43"/>
      <c r="B1115" s="56">
        <v>71275</v>
      </c>
      <c r="C1115" s="92" t="s">
        <v>630</v>
      </c>
      <c r="D1115" s="56" t="s">
        <v>2930</v>
      </c>
      <c r="E1115" s="84"/>
    </row>
    <row r="1116" spans="1:6" hidden="1">
      <c r="A1116" s="43"/>
      <c r="B1116" s="56">
        <v>71277</v>
      </c>
      <c r="C1116" s="92" t="s">
        <v>631</v>
      </c>
      <c r="D1116" s="56" t="s">
        <v>2930</v>
      </c>
      <c r="E1116" s="84"/>
    </row>
    <row r="1117" spans="1:6" hidden="1">
      <c r="A1117" s="91"/>
      <c r="B1117" s="136">
        <v>71278</v>
      </c>
      <c r="C1117" s="137" t="s">
        <v>632</v>
      </c>
      <c r="D1117" s="136" t="s">
        <v>2930</v>
      </c>
      <c r="E1117" s="138">
        <f>ROUND(SUM(E1118:E1119),2)</f>
        <v>0</v>
      </c>
    </row>
    <row r="1118" spans="1:6" hidden="1">
      <c r="A1118" s="93"/>
      <c r="B1118" s="127"/>
      <c r="C1118" s="121"/>
      <c r="D1118" s="127"/>
      <c r="E1118" s="139"/>
    </row>
    <row r="1119" spans="1:6" hidden="1">
      <c r="A1119" s="93"/>
      <c r="B1119" s="127"/>
      <c r="C1119" s="121"/>
      <c r="D1119" s="127"/>
      <c r="E1119" s="139"/>
    </row>
    <row r="1120" spans="1:6" hidden="1">
      <c r="A1120" s="91"/>
      <c r="B1120" s="136"/>
      <c r="C1120" s="137"/>
      <c r="D1120" s="136"/>
      <c r="E1120" s="138"/>
    </row>
    <row r="1121" spans="1:5" hidden="1">
      <c r="A1121" s="91"/>
      <c r="B1121" s="136">
        <v>71279</v>
      </c>
      <c r="C1121" s="137" t="s">
        <v>633</v>
      </c>
      <c r="D1121" s="136" t="s">
        <v>2930</v>
      </c>
      <c r="E1121" s="138">
        <f>ROUND(SUM(E1122:E1122),2)</f>
        <v>0</v>
      </c>
    </row>
    <row r="1122" spans="1:5" hidden="1">
      <c r="A1122" s="93"/>
      <c r="B1122" s="127"/>
      <c r="C1122" s="121"/>
      <c r="D1122" s="127"/>
      <c r="E1122" s="139"/>
    </row>
    <row r="1123" spans="1:5" hidden="1">
      <c r="A1123" s="43"/>
      <c r="B1123" s="56"/>
      <c r="C1123" s="92"/>
      <c r="D1123" s="56"/>
      <c r="E1123" s="84"/>
    </row>
    <row r="1124" spans="1:5" hidden="1">
      <c r="A1124" s="43"/>
      <c r="B1124" s="56">
        <v>71280</v>
      </c>
      <c r="C1124" s="92" t="s">
        <v>634</v>
      </c>
      <c r="D1124" s="56" t="s">
        <v>136</v>
      </c>
      <c r="E1124" s="84"/>
    </row>
    <row r="1125" spans="1:5" hidden="1">
      <c r="A1125" s="43"/>
      <c r="B1125" s="56">
        <v>71281</v>
      </c>
      <c r="C1125" s="92" t="s">
        <v>635</v>
      </c>
      <c r="D1125" s="56" t="s">
        <v>136</v>
      </c>
      <c r="E1125" s="84"/>
    </row>
    <row r="1126" spans="1:5" hidden="1">
      <c r="A1126" s="43"/>
      <c r="B1126" s="56">
        <v>71282</v>
      </c>
      <c r="C1126" s="92" t="s">
        <v>636</v>
      </c>
      <c r="D1126" s="56" t="s">
        <v>136</v>
      </c>
      <c r="E1126" s="84"/>
    </row>
    <row r="1127" spans="1:5" hidden="1">
      <c r="A1127" s="43"/>
      <c r="B1127" s="56">
        <v>71283</v>
      </c>
      <c r="C1127" s="92" t="s">
        <v>637</v>
      </c>
      <c r="D1127" s="56" t="s">
        <v>136</v>
      </c>
      <c r="E1127" s="84"/>
    </row>
    <row r="1128" spans="1:5" hidden="1">
      <c r="A1128" s="43"/>
      <c r="B1128" s="56">
        <v>71290</v>
      </c>
      <c r="C1128" s="92" t="s">
        <v>638</v>
      </c>
      <c r="D1128" s="56" t="s">
        <v>136</v>
      </c>
      <c r="E1128" s="84"/>
    </row>
    <row r="1129" spans="1:5" hidden="1">
      <c r="A1129" s="43"/>
      <c r="B1129" s="56">
        <v>71291</v>
      </c>
      <c r="C1129" s="92" t="s">
        <v>639</v>
      </c>
      <c r="D1129" s="56" t="s">
        <v>136</v>
      </c>
      <c r="E1129" s="84"/>
    </row>
    <row r="1130" spans="1:5" hidden="1">
      <c r="A1130" s="43"/>
      <c r="B1130" s="56">
        <v>71292</v>
      </c>
      <c r="C1130" s="92" t="s">
        <v>640</v>
      </c>
      <c r="D1130" s="56" t="s">
        <v>136</v>
      </c>
      <c r="E1130" s="84"/>
    </row>
    <row r="1131" spans="1:5" hidden="1">
      <c r="A1131" s="43"/>
      <c r="B1131" s="56">
        <v>71293</v>
      </c>
      <c r="C1131" s="92" t="s">
        <v>641</v>
      </c>
      <c r="D1131" s="56" t="s">
        <v>136</v>
      </c>
      <c r="E1131" s="84"/>
    </row>
    <row r="1132" spans="1:5" hidden="1">
      <c r="A1132" s="43"/>
      <c r="B1132" s="56">
        <v>71294</v>
      </c>
      <c r="C1132" s="92" t="s">
        <v>642</v>
      </c>
      <c r="D1132" s="56" t="s">
        <v>136</v>
      </c>
      <c r="E1132" s="84"/>
    </row>
    <row r="1133" spans="1:5" hidden="1">
      <c r="A1133" s="43"/>
      <c r="B1133" s="56">
        <v>71320</v>
      </c>
      <c r="C1133" s="92" t="s">
        <v>643</v>
      </c>
      <c r="D1133" s="56" t="s">
        <v>2930</v>
      </c>
      <c r="E1133" s="84"/>
    </row>
    <row r="1134" spans="1:5" hidden="1">
      <c r="A1134" s="43"/>
      <c r="B1134" s="56">
        <v>71321</v>
      </c>
      <c r="C1134" s="92" t="s">
        <v>644</v>
      </c>
      <c r="D1134" s="56" t="s">
        <v>2930</v>
      </c>
      <c r="E1134" s="84"/>
    </row>
    <row r="1135" spans="1:5" hidden="1">
      <c r="A1135" s="43"/>
      <c r="B1135" s="56">
        <v>71329</v>
      </c>
      <c r="C1135" s="92" t="s">
        <v>645</v>
      </c>
      <c r="D1135" s="56" t="s">
        <v>2930</v>
      </c>
      <c r="E1135" s="84"/>
    </row>
    <row r="1136" spans="1:5" hidden="1">
      <c r="A1136" s="43"/>
      <c r="B1136" s="56">
        <v>71330</v>
      </c>
      <c r="C1136" s="92" t="s">
        <v>646</v>
      </c>
      <c r="D1136" s="56" t="s">
        <v>2930</v>
      </c>
      <c r="E1136" s="84"/>
    </row>
    <row r="1137" spans="1:6" hidden="1">
      <c r="A1137" s="43"/>
      <c r="B1137" s="56">
        <v>71331</v>
      </c>
      <c r="C1137" s="92" t="s">
        <v>647</v>
      </c>
      <c r="D1137" s="56" t="s">
        <v>2930</v>
      </c>
      <c r="E1137" s="84"/>
    </row>
    <row r="1138" spans="1:6" hidden="1">
      <c r="A1138" s="43"/>
      <c r="B1138" s="56">
        <v>71365</v>
      </c>
      <c r="C1138" s="92" t="s">
        <v>648</v>
      </c>
      <c r="D1138" s="56" t="s">
        <v>2930</v>
      </c>
      <c r="E1138" s="84"/>
    </row>
    <row r="1139" spans="1:6" hidden="1">
      <c r="A1139" s="43"/>
      <c r="B1139" s="56">
        <v>71371</v>
      </c>
      <c r="C1139" s="92" t="s">
        <v>649</v>
      </c>
      <c r="D1139" s="56" t="s">
        <v>2930</v>
      </c>
      <c r="E1139" s="84"/>
    </row>
    <row r="1140" spans="1:6">
      <c r="A1140" s="91" t="s">
        <v>3784</v>
      </c>
      <c r="B1140" s="56">
        <v>71380</v>
      </c>
      <c r="C1140" s="92" t="s">
        <v>650</v>
      </c>
      <c r="D1140" s="56" t="s">
        <v>2930</v>
      </c>
      <c r="E1140" s="84">
        <f>ROUND(E1141,2)</f>
        <v>1</v>
      </c>
    </row>
    <row r="1141" spans="1:6" s="47" customFormat="1" ht="12">
      <c r="A1141" s="93"/>
      <c r="B1141" s="99"/>
      <c r="C1141" s="102" t="s">
        <v>2486</v>
      </c>
      <c r="D1141" s="99" t="s">
        <v>2930</v>
      </c>
      <c r="E1141" s="113">
        <v>1</v>
      </c>
      <c r="F1141" s="163"/>
    </row>
    <row r="1142" spans="1:6">
      <c r="A1142" s="43"/>
      <c r="B1142" s="56"/>
      <c r="C1142" s="92"/>
      <c r="D1142" s="56"/>
      <c r="E1142" s="84"/>
    </row>
    <row r="1143" spans="1:6" hidden="1">
      <c r="A1143" s="43"/>
      <c r="B1143" s="56">
        <v>71381</v>
      </c>
      <c r="C1143" s="92" t="s">
        <v>651</v>
      </c>
      <c r="D1143" s="56" t="s">
        <v>2930</v>
      </c>
      <c r="E1143" s="84"/>
    </row>
    <row r="1144" spans="1:6" hidden="1">
      <c r="A1144" s="43"/>
      <c r="B1144" s="56">
        <v>71390</v>
      </c>
      <c r="C1144" s="92" t="s">
        <v>652</v>
      </c>
      <c r="D1144" s="56" t="s">
        <v>2930</v>
      </c>
      <c r="E1144" s="84"/>
    </row>
    <row r="1145" spans="1:6" hidden="1">
      <c r="A1145" s="43"/>
      <c r="B1145" s="56">
        <v>71391</v>
      </c>
      <c r="C1145" s="92" t="s">
        <v>653</v>
      </c>
      <c r="D1145" s="56" t="s">
        <v>2930</v>
      </c>
      <c r="E1145" s="84"/>
    </row>
    <row r="1146" spans="1:6" hidden="1">
      <c r="A1146" s="43"/>
      <c r="B1146" s="56">
        <v>71400</v>
      </c>
      <c r="C1146" s="92" t="s">
        <v>654</v>
      </c>
      <c r="D1146" s="56" t="s">
        <v>2930</v>
      </c>
      <c r="E1146" s="84"/>
    </row>
    <row r="1147" spans="1:6" hidden="1">
      <c r="A1147" s="43"/>
      <c r="B1147" s="56">
        <v>71410</v>
      </c>
      <c r="C1147" s="92" t="s">
        <v>655</v>
      </c>
      <c r="D1147" s="56" t="s">
        <v>2930</v>
      </c>
      <c r="E1147" s="84"/>
    </row>
    <row r="1148" spans="1:6" hidden="1">
      <c r="A1148" s="43"/>
      <c r="B1148" s="56">
        <v>71411</v>
      </c>
      <c r="C1148" s="92" t="s">
        <v>656</v>
      </c>
      <c r="D1148" s="56" t="s">
        <v>2930</v>
      </c>
      <c r="E1148" s="84"/>
    </row>
    <row r="1149" spans="1:6" hidden="1">
      <c r="A1149" s="43"/>
      <c r="B1149" s="56">
        <v>71412</v>
      </c>
      <c r="C1149" s="92" t="s">
        <v>657</v>
      </c>
      <c r="D1149" s="56" t="s">
        <v>2930</v>
      </c>
      <c r="E1149" s="84"/>
    </row>
    <row r="1150" spans="1:6" hidden="1">
      <c r="A1150" s="43"/>
      <c r="B1150" s="56">
        <v>71430</v>
      </c>
      <c r="C1150" s="92" t="s">
        <v>658</v>
      </c>
      <c r="D1150" s="56" t="s">
        <v>2930</v>
      </c>
      <c r="E1150" s="84"/>
    </row>
    <row r="1151" spans="1:6" hidden="1">
      <c r="A1151" s="43"/>
      <c r="B1151" s="56">
        <v>71431</v>
      </c>
      <c r="C1151" s="92" t="s">
        <v>659</v>
      </c>
      <c r="D1151" s="56" t="s">
        <v>2930</v>
      </c>
      <c r="E1151" s="84"/>
    </row>
    <row r="1152" spans="1:6">
      <c r="A1152" s="91" t="s">
        <v>3785</v>
      </c>
      <c r="B1152" s="56">
        <v>71432</v>
      </c>
      <c r="C1152" s="92" t="s">
        <v>660</v>
      </c>
      <c r="D1152" s="56" t="s">
        <v>2930</v>
      </c>
      <c r="E1152" s="84">
        <f>ROUND(E1153,2)</f>
        <v>3</v>
      </c>
    </row>
    <row r="1153" spans="1:6" s="47" customFormat="1" ht="22.8">
      <c r="A1153" s="93"/>
      <c r="B1153" s="99"/>
      <c r="C1153" s="102" t="s">
        <v>2985</v>
      </c>
      <c r="D1153" s="99" t="s">
        <v>2930</v>
      </c>
      <c r="E1153" s="113">
        <f>1+2</f>
        <v>3</v>
      </c>
      <c r="F1153" s="163"/>
    </row>
    <row r="1154" spans="1:6">
      <c r="A1154" s="43"/>
      <c r="B1154" s="56"/>
      <c r="C1154" s="92"/>
      <c r="D1154" s="56"/>
      <c r="E1154" s="84"/>
    </row>
    <row r="1155" spans="1:6">
      <c r="A1155" s="91" t="s">
        <v>3786</v>
      </c>
      <c r="B1155" s="56">
        <v>71440</v>
      </c>
      <c r="C1155" s="92" t="s">
        <v>661</v>
      </c>
      <c r="D1155" s="56" t="s">
        <v>2930</v>
      </c>
      <c r="E1155" s="84">
        <f>ROUND(E1156,2)</f>
        <v>5</v>
      </c>
    </row>
    <row r="1156" spans="1:6" s="47" customFormat="1" ht="22.8">
      <c r="A1156" s="93"/>
      <c r="B1156" s="99"/>
      <c r="C1156" s="102" t="s">
        <v>2986</v>
      </c>
      <c r="D1156" s="99" t="s">
        <v>2930</v>
      </c>
      <c r="E1156" s="113">
        <v>5</v>
      </c>
      <c r="F1156" s="163"/>
    </row>
    <row r="1157" spans="1:6">
      <c r="A1157" s="91"/>
      <c r="B1157" s="136"/>
      <c r="C1157" s="137"/>
      <c r="D1157" s="136"/>
      <c r="E1157" s="138"/>
      <c r="F1157" s="154"/>
    </row>
    <row r="1158" spans="1:6" hidden="1">
      <c r="A1158" s="91"/>
      <c r="B1158" s="136">
        <v>71441</v>
      </c>
      <c r="C1158" s="137" t="s">
        <v>662</v>
      </c>
      <c r="D1158" s="136" t="s">
        <v>2930</v>
      </c>
      <c r="E1158" s="138"/>
      <c r="F1158" s="154"/>
    </row>
    <row r="1159" spans="1:6" hidden="1">
      <c r="A1159" s="43"/>
      <c r="B1159" s="56"/>
      <c r="C1159" s="92"/>
      <c r="D1159" s="56"/>
      <c r="E1159" s="84"/>
    </row>
    <row r="1160" spans="1:6" hidden="1">
      <c r="A1160" s="43"/>
      <c r="B1160" s="56">
        <v>71442</v>
      </c>
      <c r="C1160" s="92" t="s">
        <v>663</v>
      </c>
      <c r="D1160" s="56" t="s">
        <v>2930</v>
      </c>
      <c r="E1160" s="84"/>
    </row>
    <row r="1161" spans="1:6" ht="26.4" hidden="1">
      <c r="A1161" s="43"/>
      <c r="B1161" s="56">
        <v>71443</v>
      </c>
      <c r="C1161" s="92" t="s">
        <v>664</v>
      </c>
      <c r="D1161" s="56" t="s">
        <v>2930</v>
      </c>
      <c r="E1161" s="84"/>
    </row>
    <row r="1162" spans="1:6" ht="26.4" hidden="1">
      <c r="A1162" s="91"/>
      <c r="B1162" s="56">
        <v>71450</v>
      </c>
      <c r="C1162" s="92" t="s">
        <v>665</v>
      </c>
      <c r="D1162" s="56" t="s">
        <v>2930</v>
      </c>
      <c r="E1162" s="84"/>
    </row>
    <row r="1163" spans="1:6" s="47" customFormat="1" ht="12" hidden="1">
      <c r="A1163" s="93"/>
      <c r="B1163" s="99"/>
      <c r="C1163" s="102"/>
      <c r="D1163" s="99"/>
      <c r="E1163" s="113"/>
      <c r="F1163" s="163"/>
    </row>
    <row r="1164" spans="1:6" hidden="1">
      <c r="A1164" s="43"/>
      <c r="B1164" s="56"/>
      <c r="C1164" s="92"/>
      <c r="D1164" s="56"/>
      <c r="E1164" s="84"/>
    </row>
    <row r="1165" spans="1:6" ht="26.4" hidden="1">
      <c r="A1165" s="43"/>
      <c r="B1165" s="56">
        <v>71451</v>
      </c>
      <c r="C1165" s="92" t="s">
        <v>666</v>
      </c>
      <c r="D1165" s="56" t="s">
        <v>2930</v>
      </c>
      <c r="E1165" s="84"/>
    </row>
    <row r="1166" spans="1:6" ht="26.4" hidden="1">
      <c r="A1166" s="43"/>
      <c r="B1166" s="56">
        <v>71452</v>
      </c>
      <c r="C1166" s="92" t="s">
        <v>667</v>
      </c>
      <c r="D1166" s="56" t="s">
        <v>2930</v>
      </c>
      <c r="E1166" s="84"/>
    </row>
    <row r="1167" spans="1:6" ht="26.4" hidden="1">
      <c r="A1167" s="43"/>
      <c r="B1167" s="56">
        <v>71455</v>
      </c>
      <c r="C1167" s="92" t="s">
        <v>668</v>
      </c>
      <c r="D1167" s="56" t="s">
        <v>2930</v>
      </c>
      <c r="E1167" s="84"/>
    </row>
    <row r="1168" spans="1:6" ht="26.4" hidden="1">
      <c r="A1168" s="43"/>
      <c r="B1168" s="56">
        <v>71456</v>
      </c>
      <c r="C1168" s="92" t="s">
        <v>669</v>
      </c>
      <c r="D1168" s="56" t="s">
        <v>2930</v>
      </c>
      <c r="E1168" s="84"/>
    </row>
    <row r="1169" spans="1:5" ht="26.4" hidden="1">
      <c r="A1169" s="43"/>
      <c r="B1169" s="56">
        <v>71457</v>
      </c>
      <c r="C1169" s="92" t="s">
        <v>670</v>
      </c>
      <c r="D1169" s="56" t="s">
        <v>2930</v>
      </c>
      <c r="E1169" s="84"/>
    </row>
    <row r="1170" spans="1:5" hidden="1">
      <c r="A1170" s="43"/>
      <c r="B1170" s="56">
        <v>71460</v>
      </c>
      <c r="C1170" s="92" t="s">
        <v>671</v>
      </c>
      <c r="D1170" s="56" t="s">
        <v>2930</v>
      </c>
      <c r="E1170" s="84"/>
    </row>
    <row r="1171" spans="1:5" hidden="1">
      <c r="A1171" s="43"/>
      <c r="B1171" s="56">
        <v>71461</v>
      </c>
      <c r="C1171" s="92" t="s">
        <v>672</v>
      </c>
      <c r="D1171" s="56" t="s">
        <v>2930</v>
      </c>
      <c r="E1171" s="84"/>
    </row>
    <row r="1172" spans="1:5" hidden="1">
      <c r="A1172" s="43"/>
      <c r="B1172" s="56">
        <v>71462</v>
      </c>
      <c r="C1172" s="92" t="s">
        <v>673</v>
      </c>
      <c r="D1172" s="56" t="s">
        <v>2930</v>
      </c>
      <c r="E1172" s="84"/>
    </row>
    <row r="1173" spans="1:5" hidden="1">
      <c r="A1173" s="43"/>
      <c r="B1173" s="56">
        <v>71463</v>
      </c>
      <c r="C1173" s="92" t="s">
        <v>674</v>
      </c>
      <c r="D1173" s="56" t="s">
        <v>2930</v>
      </c>
      <c r="E1173" s="84"/>
    </row>
    <row r="1174" spans="1:5" hidden="1">
      <c r="A1174" s="43"/>
      <c r="B1174" s="56">
        <v>71464</v>
      </c>
      <c r="C1174" s="92" t="s">
        <v>675</v>
      </c>
      <c r="D1174" s="56" t="s">
        <v>2930</v>
      </c>
      <c r="E1174" s="84"/>
    </row>
    <row r="1175" spans="1:5" hidden="1">
      <c r="A1175" s="43"/>
      <c r="B1175" s="56">
        <v>71465</v>
      </c>
      <c r="C1175" s="92" t="s">
        <v>676</v>
      </c>
      <c r="D1175" s="56" t="s">
        <v>2930</v>
      </c>
      <c r="E1175" s="84"/>
    </row>
    <row r="1176" spans="1:5" hidden="1">
      <c r="A1176" s="43"/>
      <c r="B1176" s="56">
        <v>71470</v>
      </c>
      <c r="C1176" s="92" t="s">
        <v>677</v>
      </c>
      <c r="D1176" s="56" t="s">
        <v>2930</v>
      </c>
      <c r="E1176" s="84"/>
    </row>
    <row r="1177" spans="1:5" ht="26.4" hidden="1">
      <c r="A1177" s="43"/>
      <c r="B1177" s="56">
        <v>71471</v>
      </c>
      <c r="C1177" s="92" t="s">
        <v>678</v>
      </c>
      <c r="D1177" s="56" t="s">
        <v>2930</v>
      </c>
      <c r="E1177" s="84"/>
    </row>
    <row r="1178" spans="1:5" ht="26.4" hidden="1">
      <c r="A1178" s="43"/>
      <c r="B1178" s="56">
        <v>71472</v>
      </c>
      <c r="C1178" s="92" t="s">
        <v>679</v>
      </c>
      <c r="D1178" s="56" t="s">
        <v>2930</v>
      </c>
      <c r="E1178" s="84"/>
    </row>
    <row r="1179" spans="1:5" ht="26.4" hidden="1">
      <c r="A1179" s="43"/>
      <c r="B1179" s="56">
        <v>71473</v>
      </c>
      <c r="C1179" s="92" t="s">
        <v>680</v>
      </c>
      <c r="D1179" s="56" t="s">
        <v>2930</v>
      </c>
      <c r="E1179" s="84"/>
    </row>
    <row r="1180" spans="1:5" hidden="1">
      <c r="A1180" s="43"/>
      <c r="B1180" s="56">
        <v>71474</v>
      </c>
      <c r="C1180" s="92" t="s">
        <v>681</v>
      </c>
      <c r="D1180" s="56" t="s">
        <v>2930</v>
      </c>
      <c r="E1180" s="84"/>
    </row>
    <row r="1181" spans="1:5" hidden="1">
      <c r="A1181" s="43"/>
      <c r="B1181" s="56">
        <v>71476</v>
      </c>
      <c r="C1181" s="92" t="s">
        <v>682</v>
      </c>
      <c r="D1181" s="56" t="s">
        <v>2930</v>
      </c>
      <c r="E1181" s="84"/>
    </row>
    <row r="1182" spans="1:5" hidden="1">
      <c r="A1182" s="43"/>
      <c r="B1182" s="56">
        <v>71480</v>
      </c>
      <c r="C1182" s="92" t="s">
        <v>683</v>
      </c>
      <c r="D1182" s="56" t="s">
        <v>2930</v>
      </c>
      <c r="E1182" s="84"/>
    </row>
    <row r="1183" spans="1:5" hidden="1">
      <c r="A1183" s="43"/>
      <c r="B1183" s="56">
        <v>71481</v>
      </c>
      <c r="C1183" s="92" t="s">
        <v>684</v>
      </c>
      <c r="D1183" s="56" t="s">
        <v>2930</v>
      </c>
      <c r="E1183" s="84"/>
    </row>
    <row r="1184" spans="1:5" hidden="1">
      <c r="A1184" s="43"/>
      <c r="B1184" s="56">
        <v>71490</v>
      </c>
      <c r="C1184" s="92" t="s">
        <v>685</v>
      </c>
      <c r="D1184" s="56" t="s">
        <v>2930</v>
      </c>
      <c r="E1184" s="84"/>
    </row>
    <row r="1185" spans="1:5" hidden="1">
      <c r="A1185" s="43"/>
      <c r="B1185" s="56">
        <v>71491</v>
      </c>
      <c r="C1185" s="92" t="s">
        <v>686</v>
      </c>
      <c r="D1185" s="56" t="s">
        <v>2930</v>
      </c>
      <c r="E1185" s="84"/>
    </row>
    <row r="1186" spans="1:5" hidden="1">
      <c r="A1186" s="43"/>
      <c r="B1186" s="56">
        <v>71492</v>
      </c>
      <c r="C1186" s="92" t="s">
        <v>687</v>
      </c>
      <c r="D1186" s="56" t="s">
        <v>2930</v>
      </c>
      <c r="E1186" s="84"/>
    </row>
    <row r="1187" spans="1:5" hidden="1">
      <c r="A1187" s="43"/>
      <c r="B1187" s="56">
        <v>71500</v>
      </c>
      <c r="C1187" s="92" t="s">
        <v>688</v>
      </c>
      <c r="D1187" s="56" t="s">
        <v>2930</v>
      </c>
      <c r="E1187" s="84"/>
    </row>
    <row r="1188" spans="1:5" hidden="1">
      <c r="A1188" s="43"/>
      <c r="B1188" s="56">
        <v>71510</v>
      </c>
      <c r="C1188" s="92" t="s">
        <v>689</v>
      </c>
      <c r="D1188" s="56" t="s">
        <v>2930</v>
      </c>
      <c r="E1188" s="84"/>
    </row>
    <row r="1189" spans="1:5" hidden="1">
      <c r="A1189" s="43"/>
      <c r="B1189" s="56">
        <v>71520</v>
      </c>
      <c r="C1189" s="92" t="s">
        <v>690</v>
      </c>
      <c r="D1189" s="56" t="s">
        <v>2930</v>
      </c>
      <c r="E1189" s="84"/>
    </row>
    <row r="1190" spans="1:5" hidden="1">
      <c r="A1190" s="43"/>
      <c r="B1190" s="56">
        <v>71521</v>
      </c>
      <c r="C1190" s="92" t="s">
        <v>691</v>
      </c>
      <c r="D1190" s="56" t="s">
        <v>2930</v>
      </c>
      <c r="E1190" s="84"/>
    </row>
    <row r="1191" spans="1:5" hidden="1">
      <c r="A1191" s="43"/>
      <c r="B1191" s="56">
        <v>71522</v>
      </c>
      <c r="C1191" s="92" t="s">
        <v>692</v>
      </c>
      <c r="D1191" s="56" t="s">
        <v>2930</v>
      </c>
      <c r="E1191" s="84"/>
    </row>
    <row r="1192" spans="1:5" hidden="1">
      <c r="A1192" s="43"/>
      <c r="B1192" s="56">
        <v>71523</v>
      </c>
      <c r="C1192" s="92" t="s">
        <v>693</v>
      </c>
      <c r="D1192" s="56" t="s">
        <v>2930</v>
      </c>
      <c r="E1192" s="84"/>
    </row>
    <row r="1193" spans="1:5" hidden="1">
      <c r="A1193" s="43"/>
      <c r="B1193" s="56">
        <v>71524</v>
      </c>
      <c r="C1193" s="92" t="s">
        <v>694</v>
      </c>
      <c r="D1193" s="56" t="s">
        <v>2930</v>
      </c>
      <c r="E1193" s="84"/>
    </row>
    <row r="1194" spans="1:5" hidden="1">
      <c r="A1194" s="43"/>
      <c r="B1194" s="56">
        <v>71525</v>
      </c>
      <c r="C1194" s="92" t="s">
        <v>695</v>
      </c>
      <c r="D1194" s="56" t="s">
        <v>2930</v>
      </c>
      <c r="E1194" s="84"/>
    </row>
    <row r="1195" spans="1:5" hidden="1">
      <c r="A1195" s="43"/>
      <c r="B1195" s="56">
        <v>71526</v>
      </c>
      <c r="C1195" s="92" t="s">
        <v>696</v>
      </c>
      <c r="D1195" s="56" t="s">
        <v>2930</v>
      </c>
      <c r="E1195" s="84"/>
    </row>
    <row r="1196" spans="1:5" hidden="1">
      <c r="A1196" s="43"/>
      <c r="B1196" s="56">
        <v>71527</v>
      </c>
      <c r="C1196" s="92" t="s">
        <v>697</v>
      </c>
      <c r="D1196" s="56" t="s">
        <v>2930</v>
      </c>
      <c r="E1196" s="84"/>
    </row>
    <row r="1197" spans="1:5" hidden="1">
      <c r="A1197" s="43"/>
      <c r="B1197" s="56">
        <v>71528</v>
      </c>
      <c r="C1197" s="92" t="s">
        <v>698</v>
      </c>
      <c r="D1197" s="56" t="s">
        <v>2930</v>
      </c>
      <c r="E1197" s="84"/>
    </row>
    <row r="1198" spans="1:5" hidden="1">
      <c r="A1198" s="43"/>
      <c r="B1198" s="56">
        <v>71534</v>
      </c>
      <c r="C1198" s="92" t="s">
        <v>699</v>
      </c>
      <c r="D1198" s="56" t="s">
        <v>2930</v>
      </c>
      <c r="E1198" s="84"/>
    </row>
    <row r="1199" spans="1:5" hidden="1">
      <c r="A1199" s="43"/>
      <c r="B1199" s="56">
        <v>71536</v>
      </c>
      <c r="C1199" s="92" t="s">
        <v>700</v>
      </c>
      <c r="D1199" s="56" t="s">
        <v>2930</v>
      </c>
      <c r="E1199" s="84"/>
    </row>
    <row r="1200" spans="1:5" hidden="1">
      <c r="A1200" s="43"/>
      <c r="B1200" s="56">
        <v>71560</v>
      </c>
      <c r="C1200" s="92" t="s">
        <v>701</v>
      </c>
      <c r="D1200" s="56" t="s">
        <v>2930</v>
      </c>
      <c r="E1200" s="84"/>
    </row>
    <row r="1201" spans="1:5" hidden="1">
      <c r="A1201" s="43"/>
      <c r="B1201" s="56">
        <v>71561</v>
      </c>
      <c r="C1201" s="92" t="s">
        <v>702</v>
      </c>
      <c r="D1201" s="56" t="s">
        <v>2930</v>
      </c>
      <c r="E1201" s="84"/>
    </row>
    <row r="1202" spans="1:5" hidden="1">
      <c r="A1202" s="43"/>
      <c r="B1202" s="56">
        <v>71562</v>
      </c>
      <c r="C1202" s="92" t="s">
        <v>703</v>
      </c>
      <c r="D1202" s="56" t="s">
        <v>2930</v>
      </c>
      <c r="E1202" s="84"/>
    </row>
    <row r="1203" spans="1:5" hidden="1">
      <c r="A1203" s="43"/>
      <c r="B1203" s="56">
        <v>71567</v>
      </c>
      <c r="C1203" s="92" t="s">
        <v>704</v>
      </c>
      <c r="D1203" s="56" t="s">
        <v>2930</v>
      </c>
      <c r="E1203" s="84"/>
    </row>
    <row r="1204" spans="1:5" ht="26.4" hidden="1">
      <c r="A1204" s="43"/>
      <c r="B1204" s="56">
        <v>71577</v>
      </c>
      <c r="C1204" s="92" t="s">
        <v>705</v>
      </c>
      <c r="D1204" s="56" t="s">
        <v>2930</v>
      </c>
      <c r="E1204" s="84"/>
    </row>
    <row r="1205" spans="1:5" hidden="1">
      <c r="A1205" s="43"/>
      <c r="B1205" s="56">
        <v>71590</v>
      </c>
      <c r="C1205" s="92" t="s">
        <v>706</v>
      </c>
      <c r="D1205" s="56" t="s">
        <v>2930</v>
      </c>
      <c r="E1205" s="84"/>
    </row>
    <row r="1206" spans="1:5" hidden="1">
      <c r="A1206" s="43"/>
      <c r="B1206" s="56">
        <v>71591</v>
      </c>
      <c r="C1206" s="92" t="s">
        <v>707</v>
      </c>
      <c r="D1206" s="56" t="s">
        <v>2930</v>
      </c>
      <c r="E1206" s="84"/>
    </row>
    <row r="1207" spans="1:5" hidden="1">
      <c r="A1207" s="43"/>
      <c r="B1207" s="56">
        <v>71592</v>
      </c>
      <c r="C1207" s="92" t="s">
        <v>708</v>
      </c>
      <c r="D1207" s="56" t="s">
        <v>2930</v>
      </c>
      <c r="E1207" s="84"/>
    </row>
    <row r="1208" spans="1:5" hidden="1">
      <c r="A1208" s="43"/>
      <c r="B1208" s="56">
        <v>71598</v>
      </c>
      <c r="C1208" s="92" t="s">
        <v>709</v>
      </c>
      <c r="D1208" s="56" t="s">
        <v>2930</v>
      </c>
      <c r="E1208" s="84"/>
    </row>
    <row r="1209" spans="1:5" ht="26.4" hidden="1">
      <c r="A1209" s="43"/>
      <c r="B1209" s="56">
        <v>71602</v>
      </c>
      <c r="C1209" s="92" t="s">
        <v>710</v>
      </c>
      <c r="D1209" s="56" t="s">
        <v>2930</v>
      </c>
      <c r="E1209" s="84"/>
    </row>
    <row r="1210" spans="1:5" ht="26.4" hidden="1">
      <c r="A1210" s="43"/>
      <c r="B1210" s="56">
        <v>71609</v>
      </c>
      <c r="C1210" s="92" t="s">
        <v>711</v>
      </c>
      <c r="D1210" s="56" t="s">
        <v>2930</v>
      </c>
      <c r="E1210" s="84"/>
    </row>
    <row r="1211" spans="1:5" ht="26.4" hidden="1">
      <c r="A1211" s="43"/>
      <c r="B1211" s="56">
        <v>71610</v>
      </c>
      <c r="C1211" s="92" t="s">
        <v>712</v>
      </c>
      <c r="D1211" s="56" t="s">
        <v>2930</v>
      </c>
      <c r="E1211" s="84"/>
    </row>
    <row r="1212" spans="1:5" ht="26.4" hidden="1">
      <c r="A1212" s="43"/>
      <c r="B1212" s="56">
        <v>71612</v>
      </c>
      <c r="C1212" s="92" t="s">
        <v>713</v>
      </c>
      <c r="D1212" s="56" t="s">
        <v>2930</v>
      </c>
      <c r="E1212" s="84"/>
    </row>
    <row r="1213" spans="1:5" ht="26.4" hidden="1">
      <c r="A1213" s="43"/>
      <c r="B1213" s="56">
        <v>71613</v>
      </c>
      <c r="C1213" s="92" t="s">
        <v>714</v>
      </c>
      <c r="D1213" s="56" t="s">
        <v>2930</v>
      </c>
      <c r="E1213" s="84"/>
    </row>
    <row r="1214" spans="1:5" hidden="1">
      <c r="A1214" s="43"/>
      <c r="B1214" s="56">
        <v>71614</v>
      </c>
      <c r="C1214" s="92" t="s">
        <v>715</v>
      </c>
      <c r="D1214" s="56" t="s">
        <v>2930</v>
      </c>
      <c r="E1214" s="84"/>
    </row>
    <row r="1215" spans="1:5" hidden="1">
      <c r="A1215" s="43"/>
      <c r="B1215" s="56">
        <v>71615</v>
      </c>
      <c r="C1215" s="92" t="s">
        <v>716</v>
      </c>
      <c r="D1215" s="56" t="s">
        <v>2930</v>
      </c>
      <c r="E1215" s="84"/>
    </row>
    <row r="1216" spans="1:5" ht="26.4" hidden="1">
      <c r="A1216" s="43"/>
      <c r="B1216" s="56">
        <v>71616</v>
      </c>
      <c r="C1216" s="92" t="s">
        <v>717</v>
      </c>
      <c r="D1216" s="56" t="s">
        <v>2930</v>
      </c>
      <c r="E1216" s="84"/>
    </row>
    <row r="1217" spans="1:5" ht="26.4" hidden="1">
      <c r="A1217" s="43"/>
      <c r="B1217" s="56">
        <v>71617</v>
      </c>
      <c r="C1217" s="92" t="s">
        <v>718</v>
      </c>
      <c r="D1217" s="56" t="s">
        <v>2930</v>
      </c>
      <c r="E1217" s="84"/>
    </row>
    <row r="1218" spans="1:5" ht="26.4" hidden="1">
      <c r="A1218" s="43"/>
      <c r="B1218" s="56">
        <v>71618</v>
      </c>
      <c r="C1218" s="92" t="s">
        <v>719</v>
      </c>
      <c r="D1218" s="56" t="s">
        <v>2930</v>
      </c>
      <c r="E1218" s="84"/>
    </row>
    <row r="1219" spans="1:5" ht="26.4" hidden="1">
      <c r="A1219" s="43"/>
      <c r="B1219" s="56">
        <v>71619</v>
      </c>
      <c r="C1219" s="92" t="s">
        <v>720</v>
      </c>
      <c r="D1219" s="56" t="s">
        <v>2930</v>
      </c>
      <c r="E1219" s="84"/>
    </row>
    <row r="1220" spans="1:5" ht="26.4" hidden="1">
      <c r="A1220" s="43"/>
      <c r="B1220" s="56">
        <v>71622</v>
      </c>
      <c r="C1220" s="92" t="s">
        <v>721</v>
      </c>
      <c r="D1220" s="56" t="s">
        <v>2930</v>
      </c>
      <c r="E1220" s="84"/>
    </row>
    <row r="1221" spans="1:5" ht="26.4" hidden="1">
      <c r="A1221" s="43"/>
      <c r="B1221" s="56">
        <v>71623</v>
      </c>
      <c r="C1221" s="92" t="s">
        <v>722</v>
      </c>
      <c r="D1221" s="56" t="s">
        <v>2930</v>
      </c>
      <c r="E1221" s="84"/>
    </row>
    <row r="1222" spans="1:5" ht="39.6" hidden="1">
      <c r="A1222" s="43"/>
      <c r="B1222" s="56">
        <v>71624</v>
      </c>
      <c r="C1222" s="92" t="s">
        <v>723</v>
      </c>
      <c r="D1222" s="56" t="s">
        <v>2930</v>
      </c>
      <c r="E1222" s="84"/>
    </row>
    <row r="1223" spans="1:5" ht="39.6" hidden="1">
      <c r="A1223" s="43"/>
      <c r="B1223" s="56">
        <v>71625</v>
      </c>
      <c r="C1223" s="92" t="s">
        <v>724</v>
      </c>
      <c r="D1223" s="56" t="s">
        <v>2931</v>
      </c>
      <c r="E1223" s="84"/>
    </row>
    <row r="1224" spans="1:5" ht="26.4" hidden="1">
      <c r="A1224" s="43"/>
      <c r="B1224" s="56">
        <v>71626</v>
      </c>
      <c r="C1224" s="92" t="s">
        <v>725</v>
      </c>
      <c r="D1224" s="56" t="s">
        <v>2930</v>
      </c>
      <c r="E1224" s="84"/>
    </row>
    <row r="1225" spans="1:5" ht="26.4" hidden="1">
      <c r="A1225" s="43"/>
      <c r="B1225" s="56">
        <v>71627</v>
      </c>
      <c r="C1225" s="92" t="s">
        <v>726</v>
      </c>
      <c r="D1225" s="56" t="s">
        <v>2930</v>
      </c>
      <c r="E1225" s="84"/>
    </row>
    <row r="1226" spans="1:5" ht="26.4" hidden="1">
      <c r="A1226" s="43"/>
      <c r="B1226" s="56">
        <v>71630</v>
      </c>
      <c r="C1226" s="92" t="s">
        <v>727</v>
      </c>
      <c r="D1226" s="56" t="s">
        <v>2930</v>
      </c>
      <c r="E1226" s="84"/>
    </row>
    <row r="1227" spans="1:5" hidden="1">
      <c r="A1227" s="43"/>
      <c r="B1227" s="56">
        <v>71640</v>
      </c>
      <c r="C1227" s="92" t="s">
        <v>728</v>
      </c>
      <c r="D1227" s="56" t="s">
        <v>2930</v>
      </c>
      <c r="E1227" s="84"/>
    </row>
    <row r="1228" spans="1:5" hidden="1">
      <c r="A1228" s="43"/>
      <c r="B1228" s="56">
        <v>71642</v>
      </c>
      <c r="C1228" s="92" t="s">
        <v>729</v>
      </c>
      <c r="D1228" s="56" t="s">
        <v>2930</v>
      </c>
      <c r="E1228" s="84"/>
    </row>
    <row r="1229" spans="1:5" ht="26.4" hidden="1">
      <c r="A1229" s="43"/>
      <c r="B1229" s="56">
        <v>71644</v>
      </c>
      <c r="C1229" s="92" t="s">
        <v>730</v>
      </c>
      <c r="D1229" s="56" t="s">
        <v>2930</v>
      </c>
      <c r="E1229" s="84"/>
    </row>
    <row r="1230" spans="1:5" ht="26.4" hidden="1">
      <c r="A1230" s="43"/>
      <c r="B1230" s="56">
        <v>71645</v>
      </c>
      <c r="C1230" s="92" t="s">
        <v>731</v>
      </c>
      <c r="D1230" s="56" t="s">
        <v>2930</v>
      </c>
      <c r="E1230" s="84"/>
    </row>
    <row r="1231" spans="1:5" ht="26.4" hidden="1">
      <c r="A1231" s="43"/>
      <c r="B1231" s="56">
        <v>71646</v>
      </c>
      <c r="C1231" s="92" t="s">
        <v>732</v>
      </c>
      <c r="D1231" s="56" t="s">
        <v>2930</v>
      </c>
      <c r="E1231" s="84"/>
    </row>
    <row r="1232" spans="1:5" ht="26.4" hidden="1">
      <c r="A1232" s="43"/>
      <c r="B1232" s="56">
        <v>71655</v>
      </c>
      <c r="C1232" s="92" t="s">
        <v>733</v>
      </c>
      <c r="D1232" s="56" t="s">
        <v>2930</v>
      </c>
      <c r="E1232" s="84"/>
    </row>
    <row r="1233" spans="1:5" ht="26.4" hidden="1">
      <c r="A1233" s="43"/>
      <c r="B1233" s="56">
        <v>71660</v>
      </c>
      <c r="C1233" s="92" t="s">
        <v>734</v>
      </c>
      <c r="D1233" s="56" t="s">
        <v>2930</v>
      </c>
      <c r="E1233" s="84"/>
    </row>
    <row r="1234" spans="1:5" ht="26.4" hidden="1">
      <c r="A1234" s="43"/>
      <c r="B1234" s="56">
        <v>71670</v>
      </c>
      <c r="C1234" s="92" t="s">
        <v>735</v>
      </c>
      <c r="D1234" s="56" t="s">
        <v>2930</v>
      </c>
      <c r="E1234" s="84"/>
    </row>
    <row r="1235" spans="1:5" ht="26.4" hidden="1">
      <c r="A1235" s="43"/>
      <c r="B1235" s="56">
        <v>71679</v>
      </c>
      <c r="C1235" s="92" t="s">
        <v>736</v>
      </c>
      <c r="D1235" s="56" t="s">
        <v>2930</v>
      </c>
      <c r="E1235" s="84"/>
    </row>
    <row r="1236" spans="1:5" hidden="1">
      <c r="A1236" s="43"/>
      <c r="B1236" s="56">
        <v>71682</v>
      </c>
      <c r="C1236" s="92" t="s">
        <v>737</v>
      </c>
      <c r="D1236" s="56" t="s">
        <v>2930</v>
      </c>
      <c r="E1236" s="84"/>
    </row>
    <row r="1237" spans="1:5" hidden="1">
      <c r="A1237" s="43"/>
      <c r="B1237" s="56">
        <v>71683</v>
      </c>
      <c r="C1237" s="92" t="s">
        <v>738</v>
      </c>
      <c r="D1237" s="56" t="s">
        <v>2930</v>
      </c>
      <c r="E1237" s="84"/>
    </row>
    <row r="1238" spans="1:5" hidden="1">
      <c r="A1238" s="43"/>
      <c r="B1238" s="56">
        <v>71684</v>
      </c>
      <c r="C1238" s="92" t="s">
        <v>739</v>
      </c>
      <c r="D1238" s="56" t="s">
        <v>2930</v>
      </c>
      <c r="E1238" s="84"/>
    </row>
    <row r="1239" spans="1:5" ht="26.4" hidden="1">
      <c r="A1239" s="43"/>
      <c r="B1239" s="56">
        <v>71685</v>
      </c>
      <c r="C1239" s="92" t="s">
        <v>740</v>
      </c>
      <c r="D1239" s="56" t="s">
        <v>2930</v>
      </c>
      <c r="E1239" s="84"/>
    </row>
    <row r="1240" spans="1:5" hidden="1">
      <c r="A1240" s="43"/>
      <c r="B1240" s="56">
        <v>71686</v>
      </c>
      <c r="C1240" s="92" t="s">
        <v>741</v>
      </c>
      <c r="D1240" s="56" t="s">
        <v>2930</v>
      </c>
      <c r="E1240" s="84"/>
    </row>
    <row r="1241" spans="1:5" hidden="1">
      <c r="A1241" s="43"/>
      <c r="B1241" s="56">
        <v>71687</v>
      </c>
      <c r="C1241" s="92" t="s">
        <v>742</v>
      </c>
      <c r="D1241" s="56" t="s">
        <v>2930</v>
      </c>
      <c r="E1241" s="84"/>
    </row>
    <row r="1242" spans="1:5" hidden="1">
      <c r="A1242" s="43"/>
      <c r="B1242" s="56">
        <v>71688</v>
      </c>
      <c r="C1242" s="92" t="s">
        <v>743</v>
      </c>
      <c r="D1242" s="56" t="s">
        <v>2930</v>
      </c>
      <c r="E1242" s="84"/>
    </row>
    <row r="1243" spans="1:5" hidden="1">
      <c r="A1243" s="43"/>
      <c r="B1243" s="56">
        <v>71689</v>
      </c>
      <c r="C1243" s="92" t="s">
        <v>744</v>
      </c>
      <c r="D1243" s="56" t="s">
        <v>2930</v>
      </c>
      <c r="E1243" s="84"/>
    </row>
    <row r="1244" spans="1:5" hidden="1">
      <c r="A1244" s="43"/>
      <c r="B1244" s="56">
        <v>71700</v>
      </c>
      <c r="C1244" s="92" t="s">
        <v>745</v>
      </c>
      <c r="D1244" s="56" t="s">
        <v>2930</v>
      </c>
      <c r="E1244" s="84"/>
    </row>
    <row r="1245" spans="1:5" hidden="1">
      <c r="A1245" s="43"/>
      <c r="B1245" s="56">
        <v>71701</v>
      </c>
      <c r="C1245" s="92" t="s">
        <v>746</v>
      </c>
      <c r="D1245" s="56" t="s">
        <v>2930</v>
      </c>
      <c r="E1245" s="84"/>
    </row>
    <row r="1246" spans="1:5" hidden="1">
      <c r="A1246" s="43"/>
      <c r="B1246" s="56">
        <v>71702</v>
      </c>
      <c r="C1246" s="92" t="s">
        <v>747</v>
      </c>
      <c r="D1246" s="56" t="s">
        <v>2930</v>
      </c>
      <c r="E1246" s="84"/>
    </row>
    <row r="1247" spans="1:5" hidden="1">
      <c r="A1247" s="43"/>
      <c r="B1247" s="56">
        <v>71703</v>
      </c>
      <c r="C1247" s="92" t="s">
        <v>748</v>
      </c>
      <c r="D1247" s="56" t="s">
        <v>2930</v>
      </c>
      <c r="E1247" s="84"/>
    </row>
    <row r="1248" spans="1:5" hidden="1">
      <c r="A1248" s="43"/>
      <c r="B1248" s="56">
        <v>71704</v>
      </c>
      <c r="C1248" s="92" t="s">
        <v>749</v>
      </c>
      <c r="D1248" s="56" t="s">
        <v>2930</v>
      </c>
      <c r="E1248" s="84"/>
    </row>
    <row r="1249" spans="1:6" hidden="1">
      <c r="A1249" s="43"/>
      <c r="B1249" s="56">
        <v>71705</v>
      </c>
      <c r="C1249" s="92" t="s">
        <v>750</v>
      </c>
      <c r="D1249" s="56" t="s">
        <v>2930</v>
      </c>
      <c r="E1249" s="84"/>
    </row>
    <row r="1250" spans="1:6" hidden="1">
      <c r="A1250" s="43"/>
      <c r="B1250" s="56">
        <v>71706</v>
      </c>
      <c r="C1250" s="92" t="s">
        <v>751</v>
      </c>
      <c r="D1250" s="56" t="s">
        <v>2930</v>
      </c>
      <c r="E1250" s="84"/>
    </row>
    <row r="1251" spans="1:6" hidden="1">
      <c r="A1251" s="43"/>
      <c r="B1251" s="56">
        <v>71707</v>
      </c>
      <c r="C1251" s="92" t="s">
        <v>752</v>
      </c>
      <c r="D1251" s="56" t="s">
        <v>2930</v>
      </c>
      <c r="E1251" s="84"/>
    </row>
    <row r="1252" spans="1:6" hidden="1">
      <c r="A1252" s="43"/>
      <c r="B1252" s="56">
        <v>71708</v>
      </c>
      <c r="C1252" s="92" t="s">
        <v>753</v>
      </c>
      <c r="D1252" s="56" t="s">
        <v>2930</v>
      </c>
      <c r="E1252" s="84"/>
    </row>
    <row r="1253" spans="1:6" hidden="1">
      <c r="A1253" s="43"/>
      <c r="B1253" s="56">
        <v>71710</v>
      </c>
      <c r="C1253" s="92" t="s">
        <v>754</v>
      </c>
      <c r="D1253" s="56" t="s">
        <v>2930</v>
      </c>
      <c r="E1253" s="84"/>
    </row>
    <row r="1254" spans="1:6" hidden="1">
      <c r="A1254" s="43"/>
      <c r="B1254" s="56">
        <v>71720</v>
      </c>
      <c r="C1254" s="92" t="s">
        <v>755</v>
      </c>
      <c r="D1254" s="56" t="s">
        <v>2930</v>
      </c>
      <c r="E1254" s="84"/>
    </row>
    <row r="1255" spans="1:6">
      <c r="A1255" s="91" t="s">
        <v>3787</v>
      </c>
      <c r="B1255" s="56">
        <v>71721</v>
      </c>
      <c r="C1255" s="92" t="s">
        <v>756</v>
      </c>
      <c r="D1255" s="56" t="s">
        <v>2930</v>
      </c>
      <c r="E1255" s="84">
        <f>ROUND(SUM(E1256:E1257),2)</f>
        <v>37</v>
      </c>
      <c r="F1255" s="166"/>
    </row>
    <row r="1256" spans="1:6" s="47" customFormat="1" ht="22.8">
      <c r="A1256" s="93"/>
      <c r="B1256" s="99"/>
      <c r="C1256" s="102" t="s">
        <v>2939</v>
      </c>
      <c r="D1256" s="99" t="s">
        <v>2930</v>
      </c>
      <c r="E1256" s="113">
        <v>18</v>
      </c>
      <c r="F1256" s="163"/>
    </row>
    <row r="1257" spans="1:6" s="47" customFormat="1" ht="22.8">
      <c r="A1257" s="93"/>
      <c r="B1257" s="99"/>
      <c r="C1257" s="102" t="s">
        <v>2940</v>
      </c>
      <c r="D1257" s="99" t="s">
        <v>2930</v>
      </c>
      <c r="E1257" s="113">
        <f>18+1</f>
        <v>19</v>
      </c>
      <c r="F1257" s="163"/>
    </row>
    <row r="1258" spans="1:6">
      <c r="A1258" s="43"/>
      <c r="B1258" s="56"/>
      <c r="C1258" s="92"/>
      <c r="D1258" s="56"/>
      <c r="E1258" s="84"/>
    </row>
    <row r="1259" spans="1:6" hidden="1">
      <c r="A1259" s="43"/>
      <c r="B1259" s="56">
        <v>71722</v>
      </c>
      <c r="C1259" s="92" t="s">
        <v>757</v>
      </c>
      <c r="D1259" s="56" t="s">
        <v>2930</v>
      </c>
      <c r="E1259" s="84"/>
    </row>
    <row r="1260" spans="1:6" hidden="1">
      <c r="A1260" s="43"/>
      <c r="B1260" s="56">
        <v>71723</v>
      </c>
      <c r="C1260" s="92" t="s">
        <v>758</v>
      </c>
      <c r="D1260" s="56" t="s">
        <v>2930</v>
      </c>
      <c r="E1260" s="84"/>
    </row>
    <row r="1261" spans="1:6" hidden="1">
      <c r="A1261" s="43"/>
      <c r="B1261" s="56">
        <v>71724</v>
      </c>
      <c r="C1261" s="92" t="s">
        <v>759</v>
      </c>
      <c r="D1261" s="56" t="s">
        <v>2930</v>
      </c>
      <c r="E1261" s="84"/>
    </row>
    <row r="1262" spans="1:6" hidden="1">
      <c r="A1262" s="43"/>
      <c r="B1262" s="56">
        <v>71725</v>
      </c>
      <c r="C1262" s="92" t="s">
        <v>760</v>
      </c>
      <c r="D1262" s="56" t="s">
        <v>2930</v>
      </c>
      <c r="E1262" s="84"/>
    </row>
    <row r="1263" spans="1:6" hidden="1">
      <c r="A1263" s="43"/>
      <c r="B1263" s="56">
        <v>71726</v>
      </c>
      <c r="C1263" s="92" t="s">
        <v>761</v>
      </c>
      <c r="D1263" s="56" t="s">
        <v>2930</v>
      </c>
      <c r="E1263" s="84"/>
    </row>
    <row r="1264" spans="1:6" hidden="1">
      <c r="A1264" s="43"/>
      <c r="B1264" s="56">
        <v>71727</v>
      </c>
      <c r="C1264" s="92" t="s">
        <v>762</v>
      </c>
      <c r="D1264" s="56" t="s">
        <v>2930</v>
      </c>
      <c r="E1264" s="84"/>
    </row>
    <row r="1265" spans="1:5" hidden="1">
      <c r="A1265" s="43"/>
      <c r="B1265" s="56">
        <v>71728</v>
      </c>
      <c r="C1265" s="92" t="s">
        <v>763</v>
      </c>
      <c r="D1265" s="56" t="s">
        <v>2930</v>
      </c>
      <c r="E1265" s="84"/>
    </row>
    <row r="1266" spans="1:5" hidden="1">
      <c r="A1266" s="43"/>
      <c r="B1266" s="56">
        <v>71740</v>
      </c>
      <c r="C1266" s="92" t="s">
        <v>764</v>
      </c>
      <c r="D1266" s="56" t="s">
        <v>2930</v>
      </c>
      <c r="E1266" s="84"/>
    </row>
    <row r="1267" spans="1:5" hidden="1">
      <c r="A1267" s="43"/>
      <c r="B1267" s="56">
        <v>71741</v>
      </c>
      <c r="C1267" s="92" t="s">
        <v>765</v>
      </c>
      <c r="D1267" s="56" t="s">
        <v>2930</v>
      </c>
      <c r="E1267" s="84"/>
    </row>
    <row r="1268" spans="1:5" hidden="1">
      <c r="A1268" s="43"/>
      <c r="B1268" s="56">
        <v>71742</v>
      </c>
      <c r="C1268" s="92" t="s">
        <v>766</v>
      </c>
      <c r="D1268" s="56" t="s">
        <v>2930</v>
      </c>
      <c r="E1268" s="84"/>
    </row>
    <row r="1269" spans="1:5" hidden="1">
      <c r="A1269" s="43"/>
      <c r="B1269" s="56">
        <v>71743</v>
      </c>
      <c r="C1269" s="92" t="s">
        <v>767</v>
      </c>
      <c r="D1269" s="56" t="s">
        <v>2930</v>
      </c>
      <c r="E1269" s="84"/>
    </row>
    <row r="1270" spans="1:5" hidden="1">
      <c r="A1270" s="43"/>
      <c r="B1270" s="56">
        <v>71744</v>
      </c>
      <c r="C1270" s="92" t="s">
        <v>768</v>
      </c>
      <c r="D1270" s="56" t="s">
        <v>2930</v>
      </c>
      <c r="E1270" s="84"/>
    </row>
    <row r="1271" spans="1:5" hidden="1">
      <c r="A1271" s="43"/>
      <c r="B1271" s="56">
        <v>71745</v>
      </c>
      <c r="C1271" s="92" t="s">
        <v>769</v>
      </c>
      <c r="D1271" s="56" t="s">
        <v>2930</v>
      </c>
      <c r="E1271" s="84"/>
    </row>
    <row r="1272" spans="1:5" hidden="1">
      <c r="A1272" s="43"/>
      <c r="B1272" s="56">
        <v>71746</v>
      </c>
      <c r="C1272" s="92" t="s">
        <v>770</v>
      </c>
      <c r="D1272" s="56" t="s">
        <v>2930</v>
      </c>
      <c r="E1272" s="84"/>
    </row>
    <row r="1273" spans="1:5" hidden="1">
      <c r="A1273" s="43"/>
      <c r="B1273" s="56">
        <v>71747</v>
      </c>
      <c r="C1273" s="92" t="s">
        <v>771</v>
      </c>
      <c r="D1273" s="56" t="s">
        <v>2930</v>
      </c>
      <c r="E1273" s="84"/>
    </row>
    <row r="1274" spans="1:5" hidden="1">
      <c r="A1274" s="43"/>
      <c r="B1274" s="56">
        <v>71748</v>
      </c>
      <c r="C1274" s="92" t="s">
        <v>772</v>
      </c>
      <c r="D1274" s="56" t="s">
        <v>2930</v>
      </c>
      <c r="E1274" s="84"/>
    </row>
    <row r="1275" spans="1:5" hidden="1">
      <c r="A1275" s="43"/>
      <c r="B1275" s="56">
        <v>71750</v>
      </c>
      <c r="C1275" s="92" t="s">
        <v>773</v>
      </c>
      <c r="D1275" s="56" t="s">
        <v>2930</v>
      </c>
      <c r="E1275" s="84"/>
    </row>
    <row r="1276" spans="1:5" ht="39.6" hidden="1">
      <c r="A1276" s="43"/>
      <c r="B1276" s="56">
        <v>71761</v>
      </c>
      <c r="C1276" s="92" t="s">
        <v>774</v>
      </c>
      <c r="D1276" s="56" t="s">
        <v>12</v>
      </c>
      <c r="E1276" s="84"/>
    </row>
    <row r="1277" spans="1:5" hidden="1">
      <c r="A1277" s="43"/>
      <c r="B1277" s="56">
        <v>71764</v>
      </c>
      <c r="C1277" s="92" t="s">
        <v>775</v>
      </c>
      <c r="D1277" s="56" t="s">
        <v>2930</v>
      </c>
      <c r="E1277" s="84"/>
    </row>
    <row r="1278" spans="1:5" hidden="1">
      <c r="A1278" s="43"/>
      <c r="B1278" s="56">
        <v>71765</v>
      </c>
      <c r="C1278" s="92" t="s">
        <v>776</v>
      </c>
      <c r="D1278" s="56" t="s">
        <v>2930</v>
      </c>
      <c r="E1278" s="84"/>
    </row>
    <row r="1279" spans="1:5" hidden="1">
      <c r="A1279" s="43"/>
      <c r="B1279" s="56">
        <v>71768</v>
      </c>
      <c r="C1279" s="92" t="s">
        <v>777</v>
      </c>
      <c r="D1279" s="56" t="s">
        <v>2930</v>
      </c>
      <c r="E1279" s="84"/>
    </row>
    <row r="1280" spans="1:5" hidden="1">
      <c r="A1280" s="43"/>
      <c r="B1280" s="56">
        <v>71773</v>
      </c>
      <c r="C1280" s="92" t="s">
        <v>778</v>
      </c>
      <c r="D1280" s="56" t="s">
        <v>2930</v>
      </c>
      <c r="E1280" s="84"/>
    </row>
    <row r="1281" spans="1:5" hidden="1">
      <c r="A1281" s="43"/>
      <c r="B1281" s="56">
        <v>71774</v>
      </c>
      <c r="C1281" s="92" t="s">
        <v>779</v>
      </c>
      <c r="D1281" s="56" t="s">
        <v>2930</v>
      </c>
      <c r="E1281" s="84"/>
    </row>
    <row r="1282" spans="1:5" hidden="1">
      <c r="A1282" s="43"/>
      <c r="B1282" s="56">
        <v>71776</v>
      </c>
      <c r="C1282" s="92" t="s">
        <v>780</v>
      </c>
      <c r="D1282" s="56" t="s">
        <v>2930</v>
      </c>
      <c r="E1282" s="84"/>
    </row>
    <row r="1283" spans="1:5" hidden="1">
      <c r="A1283" s="43"/>
      <c r="B1283" s="56">
        <v>71777</v>
      </c>
      <c r="C1283" s="92" t="s">
        <v>781</v>
      </c>
      <c r="D1283" s="56" t="s">
        <v>2930</v>
      </c>
      <c r="E1283" s="84"/>
    </row>
    <row r="1284" spans="1:5" hidden="1">
      <c r="A1284" s="43"/>
      <c r="B1284" s="56">
        <v>71780</v>
      </c>
      <c r="C1284" s="92" t="s">
        <v>782</v>
      </c>
      <c r="D1284" s="56" t="s">
        <v>2930</v>
      </c>
      <c r="E1284" s="84"/>
    </row>
    <row r="1285" spans="1:5" hidden="1">
      <c r="A1285" s="43"/>
      <c r="B1285" s="56">
        <v>71791</v>
      </c>
      <c r="C1285" s="92" t="s">
        <v>783</v>
      </c>
      <c r="D1285" s="56" t="s">
        <v>2930</v>
      </c>
      <c r="E1285" s="84"/>
    </row>
    <row r="1286" spans="1:5" hidden="1">
      <c r="A1286" s="43"/>
      <c r="B1286" s="56">
        <v>71795</v>
      </c>
      <c r="C1286" s="92" t="s">
        <v>784</v>
      </c>
      <c r="D1286" s="56" t="s">
        <v>2930</v>
      </c>
      <c r="E1286" s="84"/>
    </row>
    <row r="1287" spans="1:5" hidden="1">
      <c r="A1287" s="43"/>
      <c r="B1287" s="56">
        <v>71796</v>
      </c>
      <c r="C1287" s="92" t="s">
        <v>785</v>
      </c>
      <c r="D1287" s="56" t="s">
        <v>2930</v>
      </c>
      <c r="E1287" s="84"/>
    </row>
    <row r="1288" spans="1:5" hidden="1">
      <c r="A1288" s="43"/>
      <c r="B1288" s="56">
        <v>71801</v>
      </c>
      <c r="C1288" s="92" t="s">
        <v>786</v>
      </c>
      <c r="D1288" s="56" t="s">
        <v>2930</v>
      </c>
      <c r="E1288" s="84"/>
    </row>
    <row r="1289" spans="1:5" hidden="1">
      <c r="A1289" s="43"/>
      <c r="B1289" s="56">
        <v>71805</v>
      </c>
      <c r="C1289" s="92" t="s">
        <v>787</v>
      </c>
      <c r="D1289" s="56" t="s">
        <v>2930</v>
      </c>
      <c r="E1289" s="84"/>
    </row>
    <row r="1290" spans="1:5" hidden="1">
      <c r="A1290" s="43"/>
      <c r="B1290" s="56">
        <v>71820</v>
      </c>
      <c r="C1290" s="92" t="s">
        <v>788</v>
      </c>
      <c r="D1290" s="56" t="s">
        <v>2930</v>
      </c>
      <c r="E1290" s="84"/>
    </row>
    <row r="1291" spans="1:5" hidden="1">
      <c r="A1291" s="43"/>
      <c r="B1291" s="56">
        <v>71821</v>
      </c>
      <c r="C1291" s="92" t="s">
        <v>789</v>
      </c>
      <c r="D1291" s="56" t="s">
        <v>2930</v>
      </c>
      <c r="E1291" s="84"/>
    </row>
    <row r="1292" spans="1:5" hidden="1">
      <c r="A1292" s="43"/>
      <c r="B1292" s="56">
        <v>71822</v>
      </c>
      <c r="C1292" s="92" t="s">
        <v>790</v>
      </c>
      <c r="D1292" s="56" t="s">
        <v>2930</v>
      </c>
      <c r="E1292" s="84"/>
    </row>
    <row r="1293" spans="1:5" hidden="1">
      <c r="A1293" s="43"/>
      <c r="B1293" s="56">
        <v>71823</v>
      </c>
      <c r="C1293" s="92" t="s">
        <v>791</v>
      </c>
      <c r="D1293" s="56" t="s">
        <v>2930</v>
      </c>
      <c r="E1293" s="84"/>
    </row>
    <row r="1294" spans="1:5" hidden="1">
      <c r="A1294" s="43"/>
      <c r="B1294" s="56">
        <v>71824</v>
      </c>
      <c r="C1294" s="92" t="s">
        <v>792</v>
      </c>
      <c r="D1294" s="56" t="s">
        <v>2930</v>
      </c>
      <c r="E1294" s="84"/>
    </row>
    <row r="1295" spans="1:5" hidden="1">
      <c r="A1295" s="43"/>
      <c r="B1295" s="56">
        <v>71825</v>
      </c>
      <c r="C1295" s="92" t="s">
        <v>793</v>
      </c>
      <c r="D1295" s="56" t="s">
        <v>2930</v>
      </c>
      <c r="E1295" s="84"/>
    </row>
    <row r="1296" spans="1:5" hidden="1">
      <c r="A1296" s="43"/>
      <c r="B1296" s="56">
        <v>71826</v>
      </c>
      <c r="C1296" s="92" t="s">
        <v>794</v>
      </c>
      <c r="D1296" s="56" t="s">
        <v>2930</v>
      </c>
      <c r="E1296" s="84"/>
    </row>
    <row r="1297" spans="1:6" hidden="1">
      <c r="A1297" s="43"/>
      <c r="B1297" s="56">
        <v>71827</v>
      </c>
      <c r="C1297" s="92" t="s">
        <v>795</v>
      </c>
      <c r="D1297" s="56" t="s">
        <v>2930</v>
      </c>
      <c r="E1297" s="84"/>
    </row>
    <row r="1298" spans="1:6" hidden="1">
      <c r="A1298" s="43"/>
      <c r="B1298" s="56">
        <v>71831</v>
      </c>
      <c r="C1298" s="92" t="s">
        <v>796</v>
      </c>
      <c r="D1298" s="56" t="s">
        <v>2930</v>
      </c>
      <c r="E1298" s="84"/>
    </row>
    <row r="1299" spans="1:6" ht="26.4" hidden="1">
      <c r="A1299" s="43"/>
      <c r="B1299" s="56">
        <v>71833</v>
      </c>
      <c r="C1299" s="92" t="s">
        <v>797</v>
      </c>
      <c r="D1299" s="56" t="s">
        <v>2930</v>
      </c>
      <c r="E1299" s="84"/>
    </row>
    <row r="1300" spans="1:6" hidden="1">
      <c r="A1300" s="43"/>
      <c r="B1300" s="56">
        <v>71835</v>
      </c>
      <c r="C1300" s="92" t="s">
        <v>798</v>
      </c>
      <c r="D1300" s="56" t="s">
        <v>2930</v>
      </c>
      <c r="E1300" s="84"/>
    </row>
    <row r="1301" spans="1:6" hidden="1">
      <c r="A1301" s="43"/>
      <c r="B1301" s="56">
        <v>71837</v>
      </c>
      <c r="C1301" s="92" t="s">
        <v>799</v>
      </c>
      <c r="D1301" s="56" t="s">
        <v>2930</v>
      </c>
      <c r="E1301" s="84"/>
    </row>
    <row r="1302" spans="1:6" ht="26.4" hidden="1">
      <c r="A1302" s="43"/>
      <c r="B1302" s="56">
        <v>71838</v>
      </c>
      <c r="C1302" s="92" t="s">
        <v>800</v>
      </c>
      <c r="D1302" s="56" t="s">
        <v>2930</v>
      </c>
      <c r="E1302" s="84"/>
    </row>
    <row r="1303" spans="1:6" hidden="1">
      <c r="A1303" s="43"/>
      <c r="B1303" s="56">
        <v>71840</v>
      </c>
      <c r="C1303" s="92" t="s">
        <v>801</v>
      </c>
      <c r="D1303" s="56" t="s">
        <v>2930</v>
      </c>
      <c r="E1303" s="84"/>
    </row>
    <row r="1304" spans="1:6" hidden="1">
      <c r="A1304" s="43"/>
      <c r="B1304" s="56">
        <v>71841</v>
      </c>
      <c r="C1304" s="92" t="s">
        <v>802</v>
      </c>
      <c r="D1304" s="56" t="s">
        <v>2930</v>
      </c>
      <c r="E1304" s="84"/>
    </row>
    <row r="1305" spans="1:6" hidden="1">
      <c r="A1305" s="43"/>
      <c r="B1305" s="56">
        <v>71850</v>
      </c>
      <c r="C1305" s="92" t="s">
        <v>803</v>
      </c>
      <c r="D1305" s="56" t="s">
        <v>2930</v>
      </c>
      <c r="E1305" s="84"/>
    </row>
    <row r="1306" spans="1:6" hidden="1">
      <c r="A1306" s="43"/>
      <c r="B1306" s="56">
        <v>71851</v>
      </c>
      <c r="C1306" s="92" t="s">
        <v>804</v>
      </c>
      <c r="D1306" s="56" t="s">
        <v>2930</v>
      </c>
      <c r="E1306" s="84"/>
    </row>
    <row r="1307" spans="1:6">
      <c r="A1307" s="91" t="s">
        <v>3788</v>
      </c>
      <c r="B1307" s="56">
        <v>71860</v>
      </c>
      <c r="C1307" s="92" t="s">
        <v>805</v>
      </c>
      <c r="D1307" s="56" t="s">
        <v>2930</v>
      </c>
      <c r="E1307" s="84">
        <f>ROUND(SUM(E1308:E1310),2)</f>
        <v>290</v>
      </c>
      <c r="F1307" s="166"/>
    </row>
    <row r="1308" spans="1:6" ht="22.8">
      <c r="A1308" s="43"/>
      <c r="B1308" s="56"/>
      <c r="C1308" s="102" t="s">
        <v>2950</v>
      </c>
      <c r="D1308" s="99" t="s">
        <v>2488</v>
      </c>
      <c r="E1308" s="113">
        <v>216</v>
      </c>
    </row>
    <row r="1309" spans="1:6" ht="22.8">
      <c r="A1309" s="43"/>
      <c r="B1309" s="56"/>
      <c r="C1309" s="102" t="s">
        <v>2949</v>
      </c>
      <c r="D1309" s="99" t="s">
        <v>2488</v>
      </c>
      <c r="E1309" s="113">
        <v>38</v>
      </c>
    </row>
    <row r="1310" spans="1:6" ht="22.8">
      <c r="A1310" s="43"/>
      <c r="B1310" s="56"/>
      <c r="C1310" s="102" t="s">
        <v>3020</v>
      </c>
      <c r="D1310" s="99" t="s">
        <v>2930</v>
      </c>
      <c r="E1310" s="113">
        <v>36</v>
      </c>
    </row>
    <row r="1311" spans="1:6">
      <c r="A1311" s="43"/>
      <c r="B1311" s="56"/>
      <c r="C1311" s="92"/>
      <c r="D1311" s="56"/>
      <c r="E1311" s="84"/>
    </row>
    <row r="1312" spans="1:6">
      <c r="A1312" s="91" t="s">
        <v>3789</v>
      </c>
      <c r="B1312" s="56">
        <v>71861</v>
      </c>
      <c r="C1312" s="92" t="s">
        <v>806</v>
      </c>
      <c r="D1312" s="56" t="s">
        <v>2930</v>
      </c>
      <c r="E1312" s="84">
        <f>ROUND(SUM(E1313:E1315),2)</f>
        <v>423</v>
      </c>
      <c r="F1312" s="166"/>
    </row>
    <row r="1313" spans="1:6" s="47" customFormat="1" ht="22.8">
      <c r="A1313" s="93"/>
      <c r="B1313" s="99"/>
      <c r="C1313" s="102" t="s">
        <v>2952</v>
      </c>
      <c r="D1313" s="99" t="s">
        <v>2488</v>
      </c>
      <c r="E1313" s="113">
        <v>290</v>
      </c>
      <c r="F1313" s="163"/>
    </row>
    <row r="1314" spans="1:6" s="47" customFormat="1" ht="22.8">
      <c r="A1314" s="93"/>
      <c r="B1314" s="99"/>
      <c r="C1314" s="102" t="s">
        <v>2953</v>
      </c>
      <c r="D1314" s="99" t="s">
        <v>2488</v>
      </c>
      <c r="E1314" s="113">
        <v>24</v>
      </c>
      <c r="F1314" s="163"/>
    </row>
    <row r="1315" spans="1:6" s="47" customFormat="1" ht="22.8">
      <c r="A1315" s="93"/>
      <c r="B1315" s="99"/>
      <c r="C1315" s="102" t="s">
        <v>2951</v>
      </c>
      <c r="D1315" s="99" t="s">
        <v>2488</v>
      </c>
      <c r="E1315" s="113">
        <v>109</v>
      </c>
      <c r="F1315" s="163"/>
    </row>
    <row r="1316" spans="1:6">
      <c r="A1316" s="43"/>
      <c r="B1316" s="56"/>
      <c r="C1316" s="92"/>
      <c r="D1316" s="56"/>
      <c r="E1316" s="84"/>
    </row>
    <row r="1317" spans="1:6" hidden="1">
      <c r="A1317" s="43"/>
      <c r="B1317" s="56">
        <v>71862</v>
      </c>
      <c r="C1317" s="92" t="s">
        <v>807</v>
      </c>
      <c r="D1317" s="56" t="s">
        <v>2930</v>
      </c>
      <c r="E1317" s="84"/>
    </row>
    <row r="1318" spans="1:6" hidden="1">
      <c r="A1318" s="43"/>
      <c r="B1318" s="56">
        <v>71863</v>
      </c>
      <c r="C1318" s="92" t="s">
        <v>808</v>
      </c>
      <c r="D1318" s="56" t="s">
        <v>2930</v>
      </c>
      <c r="E1318" s="84"/>
    </row>
    <row r="1319" spans="1:6" hidden="1">
      <c r="A1319" s="43"/>
      <c r="B1319" s="56">
        <v>71864</v>
      </c>
      <c r="C1319" s="92" t="s">
        <v>809</v>
      </c>
      <c r="D1319" s="56" t="s">
        <v>2930</v>
      </c>
      <c r="E1319" s="84"/>
    </row>
    <row r="1320" spans="1:6" hidden="1">
      <c r="A1320" s="43"/>
      <c r="B1320" s="56">
        <v>71870</v>
      </c>
      <c r="C1320" s="92" t="s">
        <v>810</v>
      </c>
      <c r="D1320" s="56" t="s">
        <v>2930</v>
      </c>
      <c r="E1320" s="84"/>
    </row>
    <row r="1321" spans="1:6" hidden="1">
      <c r="A1321" s="43"/>
      <c r="B1321" s="56">
        <v>71871</v>
      </c>
      <c r="C1321" s="92" t="s">
        <v>811</v>
      </c>
      <c r="D1321" s="56" t="s">
        <v>2930</v>
      </c>
      <c r="E1321" s="84"/>
    </row>
    <row r="1322" spans="1:6">
      <c r="A1322" s="91" t="s">
        <v>3790</v>
      </c>
      <c r="B1322" s="56">
        <v>71872</v>
      </c>
      <c r="C1322" s="92" t="s">
        <v>812</v>
      </c>
      <c r="D1322" s="56" t="s">
        <v>2930</v>
      </c>
      <c r="E1322" s="84">
        <f>ROUND(SUM(E1323:E1324),2)</f>
        <v>856</v>
      </c>
      <c r="F1322" s="166"/>
    </row>
    <row r="1323" spans="1:6" s="47" customFormat="1" ht="22.8">
      <c r="A1323" s="93"/>
      <c r="B1323" s="99"/>
      <c r="C1323" s="102" t="s">
        <v>2955</v>
      </c>
      <c r="D1323" s="99" t="s">
        <v>2930</v>
      </c>
      <c r="E1323" s="113">
        <v>432</v>
      </c>
      <c r="F1323" s="163"/>
    </row>
    <row r="1324" spans="1:6" s="47" customFormat="1" ht="24.6" customHeight="1">
      <c r="A1324" s="93"/>
      <c r="B1324" s="99"/>
      <c r="C1324" s="102" t="s">
        <v>2954</v>
      </c>
      <c r="D1324" s="99" t="s">
        <v>2930</v>
      </c>
      <c r="E1324" s="113">
        <v>424</v>
      </c>
      <c r="F1324" s="163"/>
    </row>
    <row r="1325" spans="1:6">
      <c r="A1325" s="43"/>
      <c r="B1325" s="56"/>
      <c r="C1325" s="92"/>
      <c r="D1325" s="56"/>
      <c r="E1325" s="84"/>
    </row>
    <row r="1326" spans="1:6" hidden="1">
      <c r="A1326" s="43"/>
      <c r="B1326" s="56">
        <v>71880</v>
      </c>
      <c r="C1326" s="92" t="s">
        <v>813</v>
      </c>
      <c r="D1326" s="56" t="s">
        <v>2930</v>
      </c>
      <c r="E1326" s="84"/>
    </row>
    <row r="1327" spans="1:6" hidden="1">
      <c r="A1327" s="43"/>
      <c r="B1327" s="56">
        <v>71885</v>
      </c>
      <c r="C1327" s="92" t="s">
        <v>814</v>
      </c>
      <c r="D1327" s="56" t="s">
        <v>2930</v>
      </c>
      <c r="E1327" s="84"/>
    </row>
    <row r="1328" spans="1:6" hidden="1">
      <c r="A1328" s="43"/>
      <c r="B1328" s="56">
        <v>71886</v>
      </c>
      <c r="C1328" s="92" t="s">
        <v>815</v>
      </c>
      <c r="D1328" s="56" t="s">
        <v>2930</v>
      </c>
      <c r="E1328" s="84"/>
    </row>
    <row r="1329" spans="1:6" hidden="1">
      <c r="A1329" s="43"/>
      <c r="B1329" s="56">
        <v>71887</v>
      </c>
      <c r="C1329" s="92" t="s">
        <v>816</v>
      </c>
      <c r="D1329" s="56" t="s">
        <v>2930</v>
      </c>
      <c r="E1329" s="84"/>
    </row>
    <row r="1330" spans="1:6" hidden="1">
      <c r="A1330" s="43"/>
      <c r="B1330" s="56">
        <v>71973</v>
      </c>
      <c r="C1330" s="92" t="s">
        <v>817</v>
      </c>
      <c r="D1330" s="56" t="s">
        <v>2930</v>
      </c>
      <c r="E1330" s="84"/>
    </row>
    <row r="1331" spans="1:6" hidden="1">
      <c r="A1331" s="43"/>
      <c r="B1331" s="56">
        <v>71980</v>
      </c>
      <c r="C1331" s="92" t="s">
        <v>818</v>
      </c>
      <c r="D1331" s="56" t="s">
        <v>2930</v>
      </c>
      <c r="E1331" s="84"/>
    </row>
    <row r="1332" spans="1:6">
      <c r="A1332" s="91" t="s">
        <v>3791</v>
      </c>
      <c r="B1332" s="56">
        <v>71981</v>
      </c>
      <c r="C1332" s="92" t="s">
        <v>819</v>
      </c>
      <c r="D1332" s="56" t="s">
        <v>2930</v>
      </c>
      <c r="E1332" s="84">
        <f>ROUND(SUM(E1333:E1334),2)</f>
        <v>974</v>
      </c>
      <c r="F1332" s="166"/>
    </row>
    <row r="1333" spans="1:6" s="47" customFormat="1" ht="22.8">
      <c r="A1333" s="93"/>
      <c r="B1333" s="99"/>
      <c r="C1333" s="102" t="s">
        <v>2959</v>
      </c>
      <c r="D1333" s="99" t="s">
        <v>2930</v>
      </c>
      <c r="E1333" s="113">
        <v>488</v>
      </c>
      <c r="F1333" s="163"/>
    </row>
    <row r="1334" spans="1:6" s="47" customFormat="1" ht="25.2" customHeight="1">
      <c r="A1334" s="93"/>
      <c r="B1334" s="99"/>
      <c r="C1334" s="102" t="s">
        <v>2958</v>
      </c>
      <c r="D1334" s="99" t="s">
        <v>2930</v>
      </c>
      <c r="E1334" s="113">
        <v>486</v>
      </c>
      <c r="F1334" s="163"/>
    </row>
    <row r="1335" spans="1:6">
      <c r="A1335" s="43"/>
      <c r="B1335" s="56"/>
      <c r="C1335" s="92"/>
      <c r="D1335" s="56"/>
      <c r="E1335" s="84"/>
    </row>
    <row r="1336" spans="1:6" ht="13.2" hidden="1" customHeight="1">
      <c r="A1336" s="43"/>
      <c r="B1336" s="56">
        <v>71982</v>
      </c>
      <c r="C1336" s="92" t="s">
        <v>820</v>
      </c>
      <c r="D1336" s="56" t="s">
        <v>2930</v>
      </c>
      <c r="E1336" s="84"/>
    </row>
    <row r="1337" spans="1:6" hidden="1">
      <c r="A1337" s="43"/>
      <c r="B1337" s="56">
        <v>71983</v>
      </c>
      <c r="C1337" s="92" t="s">
        <v>821</v>
      </c>
      <c r="D1337" s="56" t="s">
        <v>2930</v>
      </c>
      <c r="E1337" s="84"/>
    </row>
    <row r="1338" spans="1:6" ht="52.8" hidden="1">
      <c r="A1338" s="43"/>
      <c r="B1338" s="56">
        <v>71991</v>
      </c>
      <c r="C1338" s="92" t="s">
        <v>822</v>
      </c>
      <c r="D1338" s="56" t="s">
        <v>2930</v>
      </c>
      <c r="E1338" s="84"/>
    </row>
    <row r="1339" spans="1:6" ht="52.8" hidden="1">
      <c r="A1339" s="43"/>
      <c r="B1339" s="56">
        <v>71992</v>
      </c>
      <c r="C1339" s="92" t="s">
        <v>823</v>
      </c>
      <c r="D1339" s="56" t="s">
        <v>2930</v>
      </c>
      <c r="E1339" s="84"/>
    </row>
    <row r="1340" spans="1:6" ht="52.8" hidden="1">
      <c r="A1340" s="43"/>
      <c r="B1340" s="56">
        <v>71993</v>
      </c>
      <c r="C1340" s="92" t="s">
        <v>824</v>
      </c>
      <c r="D1340" s="56" t="s">
        <v>2930</v>
      </c>
      <c r="E1340" s="84"/>
    </row>
    <row r="1341" spans="1:6" ht="26.4" hidden="1">
      <c r="A1341" s="43"/>
      <c r="B1341" s="56">
        <v>71995</v>
      </c>
      <c r="C1341" s="92" t="s">
        <v>825</v>
      </c>
      <c r="D1341" s="56" t="s">
        <v>30</v>
      </c>
      <c r="E1341" s="84"/>
    </row>
    <row r="1342" spans="1:6" ht="26.4" hidden="1">
      <c r="A1342" s="43"/>
      <c r="B1342" s="56">
        <v>71996</v>
      </c>
      <c r="C1342" s="92" t="s">
        <v>826</v>
      </c>
      <c r="D1342" s="56" t="s">
        <v>39</v>
      </c>
      <c r="E1342" s="84"/>
    </row>
    <row r="1343" spans="1:6" ht="26.4" hidden="1">
      <c r="A1343" s="43"/>
      <c r="B1343" s="56">
        <v>71997</v>
      </c>
      <c r="C1343" s="92" t="s">
        <v>827</v>
      </c>
      <c r="D1343" s="56" t="s">
        <v>39</v>
      </c>
      <c r="E1343" s="84"/>
    </row>
    <row r="1344" spans="1:6" ht="26.4" hidden="1">
      <c r="A1344" s="43"/>
      <c r="B1344" s="56">
        <v>71998</v>
      </c>
      <c r="C1344" s="92" t="s">
        <v>828</v>
      </c>
      <c r="D1344" s="56" t="s">
        <v>39</v>
      </c>
      <c r="E1344" s="84"/>
    </row>
    <row r="1345" spans="1:5" ht="26.4" hidden="1">
      <c r="A1345" s="43"/>
      <c r="B1345" s="56">
        <v>71999</v>
      </c>
      <c r="C1345" s="92" t="s">
        <v>829</v>
      </c>
      <c r="D1345" s="56" t="s">
        <v>39</v>
      </c>
      <c r="E1345" s="84"/>
    </row>
    <row r="1346" spans="1:5" ht="26.4" hidden="1">
      <c r="A1346" s="43"/>
      <c r="B1346" s="56">
        <v>72000</v>
      </c>
      <c r="C1346" s="92" t="s">
        <v>830</v>
      </c>
      <c r="D1346" s="56" t="s">
        <v>30</v>
      </c>
      <c r="E1346" s="84"/>
    </row>
    <row r="1347" spans="1:5" hidden="1">
      <c r="A1347" s="43"/>
      <c r="B1347" s="56">
        <v>72001</v>
      </c>
      <c r="C1347" s="92" t="s">
        <v>831</v>
      </c>
      <c r="D1347" s="56" t="s">
        <v>2930</v>
      </c>
      <c r="E1347" s="84"/>
    </row>
    <row r="1348" spans="1:5" hidden="1">
      <c r="A1348" s="43"/>
      <c r="B1348" s="56">
        <v>72005</v>
      </c>
      <c r="C1348" s="92" t="s">
        <v>832</v>
      </c>
      <c r="D1348" s="56" t="s">
        <v>2930</v>
      </c>
      <c r="E1348" s="84"/>
    </row>
    <row r="1349" spans="1:5" hidden="1">
      <c r="A1349" s="43"/>
      <c r="B1349" s="56">
        <v>72010</v>
      </c>
      <c r="C1349" s="92" t="s">
        <v>833</v>
      </c>
      <c r="D1349" s="56" t="s">
        <v>2930</v>
      </c>
      <c r="E1349" s="84"/>
    </row>
    <row r="1350" spans="1:5" hidden="1">
      <c r="A1350" s="43"/>
      <c r="B1350" s="56">
        <v>72015</v>
      </c>
      <c r="C1350" s="92" t="s">
        <v>834</v>
      </c>
      <c r="D1350" s="56" t="s">
        <v>2930</v>
      </c>
      <c r="E1350" s="84"/>
    </row>
    <row r="1351" spans="1:5" hidden="1">
      <c r="A1351" s="43"/>
      <c r="B1351" s="56">
        <v>72020</v>
      </c>
      <c r="C1351" s="92" t="s">
        <v>835</v>
      </c>
      <c r="D1351" s="56" t="s">
        <v>2930</v>
      </c>
      <c r="E1351" s="84"/>
    </row>
    <row r="1352" spans="1:5" hidden="1">
      <c r="A1352" s="43"/>
      <c r="B1352" s="56">
        <v>72025</v>
      </c>
      <c r="C1352" s="92" t="s">
        <v>836</v>
      </c>
      <c r="D1352" s="56" t="s">
        <v>2930</v>
      </c>
      <c r="E1352" s="84"/>
    </row>
    <row r="1353" spans="1:5" hidden="1">
      <c r="A1353" s="43"/>
      <c r="B1353" s="56">
        <v>72030</v>
      </c>
      <c r="C1353" s="92" t="s">
        <v>837</v>
      </c>
      <c r="D1353" s="56" t="s">
        <v>2930</v>
      </c>
      <c r="E1353" s="84"/>
    </row>
    <row r="1354" spans="1:5" hidden="1">
      <c r="A1354" s="43"/>
      <c r="B1354" s="56">
        <v>72035</v>
      </c>
      <c r="C1354" s="92" t="s">
        <v>838</v>
      </c>
      <c r="D1354" s="56" t="s">
        <v>2930</v>
      </c>
      <c r="E1354" s="84"/>
    </row>
    <row r="1355" spans="1:5" hidden="1">
      <c r="A1355" s="43"/>
      <c r="B1355" s="56">
        <v>72040</v>
      </c>
      <c r="C1355" s="92" t="s">
        <v>839</v>
      </c>
      <c r="D1355" s="56" t="s">
        <v>2930</v>
      </c>
      <c r="E1355" s="84"/>
    </row>
    <row r="1356" spans="1:5" hidden="1">
      <c r="A1356" s="43"/>
      <c r="B1356" s="56">
        <v>72042</v>
      </c>
      <c r="C1356" s="92" t="s">
        <v>840</v>
      </c>
      <c r="D1356" s="56" t="s">
        <v>2930</v>
      </c>
      <c r="E1356" s="84"/>
    </row>
    <row r="1357" spans="1:5" hidden="1">
      <c r="A1357" s="43"/>
      <c r="B1357" s="56">
        <v>72060</v>
      </c>
      <c r="C1357" s="92" t="s">
        <v>841</v>
      </c>
      <c r="D1357" s="56" t="s">
        <v>2930</v>
      </c>
      <c r="E1357" s="84"/>
    </row>
    <row r="1358" spans="1:5" hidden="1">
      <c r="A1358" s="43"/>
      <c r="B1358" s="56">
        <v>72061</v>
      </c>
      <c r="C1358" s="92" t="s">
        <v>842</v>
      </c>
      <c r="D1358" s="56" t="s">
        <v>2930</v>
      </c>
      <c r="E1358" s="84"/>
    </row>
    <row r="1359" spans="1:5" hidden="1">
      <c r="A1359" s="43"/>
      <c r="B1359" s="56">
        <v>72062</v>
      </c>
      <c r="C1359" s="92" t="s">
        <v>843</v>
      </c>
      <c r="D1359" s="56" t="s">
        <v>2930</v>
      </c>
      <c r="E1359" s="84"/>
    </row>
    <row r="1360" spans="1:5" hidden="1">
      <c r="A1360" s="43"/>
      <c r="B1360" s="56">
        <v>72080</v>
      </c>
      <c r="C1360" s="92" t="s">
        <v>844</v>
      </c>
      <c r="D1360" s="56" t="s">
        <v>845</v>
      </c>
      <c r="E1360" s="84"/>
    </row>
    <row r="1361" spans="1:6" hidden="1">
      <c r="A1361" s="43"/>
      <c r="B1361" s="56">
        <v>72085</v>
      </c>
      <c r="C1361" s="92" t="s">
        <v>846</v>
      </c>
      <c r="D1361" s="56" t="s">
        <v>845</v>
      </c>
      <c r="E1361" s="84"/>
    </row>
    <row r="1362" spans="1:6" hidden="1">
      <c r="A1362" s="43"/>
      <c r="B1362" s="56">
        <v>72145</v>
      </c>
      <c r="C1362" s="92" t="s">
        <v>847</v>
      </c>
      <c r="D1362" s="56" t="s">
        <v>2930</v>
      </c>
      <c r="E1362" s="84"/>
    </row>
    <row r="1363" spans="1:6" hidden="1">
      <c r="A1363" s="43"/>
      <c r="B1363" s="56">
        <v>72160</v>
      </c>
      <c r="C1363" s="92" t="s">
        <v>848</v>
      </c>
      <c r="D1363" s="56" t="s">
        <v>2930</v>
      </c>
      <c r="E1363" s="84"/>
    </row>
    <row r="1364" spans="1:6" hidden="1">
      <c r="A1364" s="43"/>
      <c r="B1364" s="56">
        <v>72170</v>
      </c>
      <c r="C1364" s="92" t="s">
        <v>849</v>
      </c>
      <c r="D1364" s="56" t="s">
        <v>2930</v>
      </c>
      <c r="E1364" s="84"/>
    </row>
    <row r="1365" spans="1:6" hidden="1">
      <c r="A1365" s="43"/>
      <c r="B1365" s="56">
        <v>72171</v>
      </c>
      <c r="C1365" s="92" t="s">
        <v>850</v>
      </c>
      <c r="D1365" s="56" t="s">
        <v>2930</v>
      </c>
      <c r="E1365" s="84"/>
    </row>
    <row r="1366" spans="1:6">
      <c r="A1366" s="91" t="s">
        <v>3792</v>
      </c>
      <c r="B1366" s="56">
        <v>72172</v>
      </c>
      <c r="C1366" s="92" t="s">
        <v>851</v>
      </c>
      <c r="D1366" s="56" t="s">
        <v>2930</v>
      </c>
      <c r="E1366" s="84">
        <f>ROUND(E1367,2)</f>
        <v>1</v>
      </c>
    </row>
    <row r="1367" spans="1:6" s="47" customFormat="1" ht="22.8">
      <c r="A1367" s="93"/>
      <c r="B1367" s="99"/>
      <c r="C1367" s="102" t="s">
        <v>3012</v>
      </c>
      <c r="D1367" s="99" t="s">
        <v>2930</v>
      </c>
      <c r="E1367" s="113">
        <v>1</v>
      </c>
      <c r="F1367" s="163"/>
    </row>
    <row r="1368" spans="1:6">
      <c r="A1368" s="43"/>
      <c r="B1368" s="56"/>
      <c r="C1368" s="92"/>
      <c r="D1368" s="56"/>
      <c r="E1368" s="84"/>
    </row>
    <row r="1369" spans="1:6" hidden="1">
      <c r="A1369" s="43"/>
      <c r="B1369" s="56">
        <v>72173</v>
      </c>
      <c r="C1369" s="92" t="s">
        <v>852</v>
      </c>
      <c r="D1369" s="56" t="s">
        <v>2930</v>
      </c>
      <c r="E1369" s="84"/>
    </row>
    <row r="1370" spans="1:6" hidden="1">
      <c r="A1370" s="43"/>
      <c r="B1370" s="56">
        <v>72190</v>
      </c>
      <c r="C1370" s="92" t="s">
        <v>853</v>
      </c>
      <c r="D1370" s="56" t="s">
        <v>2930</v>
      </c>
      <c r="E1370" s="84"/>
    </row>
    <row r="1371" spans="1:6" hidden="1">
      <c r="A1371" s="43"/>
      <c r="B1371" s="56">
        <v>72198</v>
      </c>
      <c r="C1371" s="92" t="s">
        <v>854</v>
      </c>
      <c r="D1371" s="56" t="s">
        <v>2930</v>
      </c>
      <c r="E1371" s="84"/>
    </row>
    <row r="1372" spans="1:6" hidden="1">
      <c r="A1372" s="43"/>
      <c r="B1372" s="56">
        <v>72201</v>
      </c>
      <c r="C1372" s="92" t="s">
        <v>855</v>
      </c>
      <c r="D1372" s="56" t="s">
        <v>2930</v>
      </c>
      <c r="E1372" s="84"/>
    </row>
    <row r="1373" spans="1:6" hidden="1">
      <c r="A1373" s="43"/>
      <c r="B1373" s="56">
        <v>72205</v>
      </c>
      <c r="C1373" s="92" t="s">
        <v>856</v>
      </c>
      <c r="D1373" s="56" t="s">
        <v>2930</v>
      </c>
      <c r="E1373" s="84"/>
    </row>
    <row r="1374" spans="1:6" hidden="1">
      <c r="A1374" s="43"/>
      <c r="B1374" s="56">
        <v>72206</v>
      </c>
      <c r="C1374" s="92" t="s">
        <v>857</v>
      </c>
      <c r="D1374" s="56" t="s">
        <v>2930</v>
      </c>
      <c r="E1374" s="84"/>
    </row>
    <row r="1375" spans="1:6" hidden="1">
      <c r="A1375" s="43"/>
      <c r="B1375" s="56">
        <v>72226</v>
      </c>
      <c r="C1375" s="92" t="s">
        <v>858</v>
      </c>
      <c r="D1375" s="56" t="s">
        <v>2930</v>
      </c>
      <c r="E1375" s="84"/>
    </row>
    <row r="1376" spans="1:6" hidden="1">
      <c r="A1376" s="43"/>
      <c r="B1376" s="56">
        <v>72227</v>
      </c>
      <c r="C1376" s="92" t="s">
        <v>859</v>
      </c>
      <c r="D1376" s="56" t="s">
        <v>2930</v>
      </c>
      <c r="E1376" s="84"/>
    </row>
    <row r="1377" spans="1:5" hidden="1">
      <c r="A1377" s="43"/>
      <c r="B1377" s="56">
        <v>72228</v>
      </c>
      <c r="C1377" s="92" t="s">
        <v>860</v>
      </c>
      <c r="D1377" s="56" t="s">
        <v>2930</v>
      </c>
      <c r="E1377" s="84"/>
    </row>
    <row r="1378" spans="1:5" hidden="1">
      <c r="A1378" s="43"/>
      <c r="B1378" s="56">
        <v>72230</v>
      </c>
      <c r="C1378" s="92" t="s">
        <v>861</v>
      </c>
      <c r="D1378" s="56" t="s">
        <v>2930</v>
      </c>
      <c r="E1378" s="84"/>
    </row>
    <row r="1379" spans="1:5" hidden="1">
      <c r="A1379" s="43"/>
      <c r="B1379" s="56">
        <v>72231</v>
      </c>
      <c r="C1379" s="92" t="s">
        <v>862</v>
      </c>
      <c r="D1379" s="56" t="s">
        <v>2930</v>
      </c>
      <c r="E1379" s="84"/>
    </row>
    <row r="1380" spans="1:5" hidden="1">
      <c r="A1380" s="43"/>
      <c r="B1380" s="56">
        <v>72232</v>
      </c>
      <c r="C1380" s="92" t="s">
        <v>863</v>
      </c>
      <c r="D1380" s="56" t="s">
        <v>2930</v>
      </c>
      <c r="E1380" s="84"/>
    </row>
    <row r="1381" spans="1:5" hidden="1">
      <c r="A1381" s="43"/>
      <c r="B1381" s="56">
        <v>72233</v>
      </c>
      <c r="C1381" s="92" t="s">
        <v>864</v>
      </c>
      <c r="D1381" s="56" t="s">
        <v>2930</v>
      </c>
      <c r="E1381" s="84"/>
    </row>
    <row r="1382" spans="1:5" hidden="1">
      <c r="A1382" s="43"/>
      <c r="B1382" s="56">
        <v>72235</v>
      </c>
      <c r="C1382" s="92" t="s">
        <v>865</v>
      </c>
      <c r="D1382" s="56" t="s">
        <v>2930</v>
      </c>
      <c r="E1382" s="84"/>
    </row>
    <row r="1383" spans="1:5" hidden="1">
      <c r="A1383" s="43"/>
      <c r="B1383" s="56">
        <v>72236</v>
      </c>
      <c r="C1383" s="92" t="s">
        <v>866</v>
      </c>
      <c r="D1383" s="56" t="s">
        <v>2930</v>
      </c>
      <c r="E1383" s="84"/>
    </row>
    <row r="1384" spans="1:5" hidden="1">
      <c r="A1384" s="43"/>
      <c r="B1384" s="56">
        <v>72237</v>
      </c>
      <c r="C1384" s="92" t="s">
        <v>867</v>
      </c>
      <c r="D1384" s="56" t="s">
        <v>2930</v>
      </c>
      <c r="E1384" s="84"/>
    </row>
    <row r="1385" spans="1:5" hidden="1">
      <c r="A1385" s="43"/>
      <c r="B1385" s="56">
        <v>72238</v>
      </c>
      <c r="C1385" s="92" t="s">
        <v>868</v>
      </c>
      <c r="D1385" s="56" t="s">
        <v>2930</v>
      </c>
      <c r="E1385" s="84"/>
    </row>
    <row r="1386" spans="1:5" hidden="1">
      <c r="A1386" s="43"/>
      <c r="B1386" s="56">
        <v>72239</v>
      </c>
      <c r="C1386" s="92" t="s">
        <v>869</v>
      </c>
      <c r="D1386" s="56" t="s">
        <v>2930</v>
      </c>
      <c r="E1386" s="84"/>
    </row>
    <row r="1387" spans="1:5" hidden="1">
      <c r="A1387" s="43"/>
      <c r="B1387" s="56">
        <v>72240</v>
      </c>
      <c r="C1387" s="92" t="s">
        <v>870</v>
      </c>
      <c r="D1387" s="56" t="s">
        <v>2930</v>
      </c>
      <c r="E1387" s="84"/>
    </row>
    <row r="1388" spans="1:5" hidden="1">
      <c r="A1388" s="43"/>
      <c r="B1388" s="56">
        <v>72241</v>
      </c>
      <c r="C1388" s="92" t="s">
        <v>871</v>
      </c>
      <c r="D1388" s="56" t="s">
        <v>2930</v>
      </c>
      <c r="E1388" s="84"/>
    </row>
    <row r="1389" spans="1:5" hidden="1">
      <c r="A1389" s="43"/>
      <c r="B1389" s="56">
        <v>72242</v>
      </c>
      <c r="C1389" s="92" t="s">
        <v>872</v>
      </c>
      <c r="D1389" s="56" t="s">
        <v>2930</v>
      </c>
      <c r="E1389" s="84"/>
    </row>
    <row r="1390" spans="1:5" hidden="1">
      <c r="A1390" s="43"/>
      <c r="B1390" s="56">
        <v>72243</v>
      </c>
      <c r="C1390" s="92" t="s">
        <v>873</v>
      </c>
      <c r="D1390" s="56" t="s">
        <v>2930</v>
      </c>
      <c r="E1390" s="84"/>
    </row>
    <row r="1391" spans="1:5" hidden="1">
      <c r="A1391" s="43"/>
      <c r="B1391" s="56">
        <v>72244</v>
      </c>
      <c r="C1391" s="92" t="s">
        <v>874</v>
      </c>
      <c r="D1391" s="56" t="s">
        <v>2930</v>
      </c>
      <c r="E1391" s="84"/>
    </row>
    <row r="1392" spans="1:5" hidden="1">
      <c r="A1392" s="43"/>
      <c r="B1392" s="56">
        <v>72245</v>
      </c>
      <c r="C1392" s="92" t="s">
        <v>875</v>
      </c>
      <c r="D1392" s="56" t="s">
        <v>2930</v>
      </c>
      <c r="E1392" s="84"/>
    </row>
    <row r="1393" spans="1:5" hidden="1">
      <c r="A1393" s="43"/>
      <c r="B1393" s="56">
        <v>72250</v>
      </c>
      <c r="C1393" s="92" t="s">
        <v>876</v>
      </c>
      <c r="D1393" s="56" t="s">
        <v>2930</v>
      </c>
      <c r="E1393" s="84"/>
    </row>
    <row r="1394" spans="1:5" hidden="1">
      <c r="A1394" s="43"/>
      <c r="B1394" s="56">
        <v>72251</v>
      </c>
      <c r="C1394" s="92" t="s">
        <v>877</v>
      </c>
      <c r="D1394" s="56" t="s">
        <v>2930</v>
      </c>
      <c r="E1394" s="84"/>
    </row>
    <row r="1395" spans="1:5" hidden="1">
      <c r="A1395" s="43"/>
      <c r="B1395" s="56">
        <v>72252</v>
      </c>
      <c r="C1395" s="92" t="s">
        <v>878</v>
      </c>
      <c r="D1395" s="56" t="s">
        <v>2930</v>
      </c>
      <c r="E1395" s="84"/>
    </row>
    <row r="1396" spans="1:5" hidden="1">
      <c r="A1396" s="43"/>
      <c r="B1396" s="56">
        <v>72267</v>
      </c>
      <c r="C1396" s="92" t="s">
        <v>879</v>
      </c>
      <c r="D1396" s="56" t="s">
        <v>2930</v>
      </c>
      <c r="E1396" s="84"/>
    </row>
    <row r="1397" spans="1:5" hidden="1">
      <c r="A1397" s="43"/>
      <c r="B1397" s="56">
        <v>72268</v>
      </c>
      <c r="C1397" s="92" t="s">
        <v>880</v>
      </c>
      <c r="D1397" s="56" t="s">
        <v>2930</v>
      </c>
      <c r="E1397" s="84"/>
    </row>
    <row r="1398" spans="1:5" hidden="1">
      <c r="A1398" s="43"/>
      <c r="B1398" s="56">
        <v>72269</v>
      </c>
      <c r="C1398" s="92" t="s">
        <v>881</v>
      </c>
      <c r="D1398" s="56" t="s">
        <v>2930</v>
      </c>
      <c r="E1398" s="84"/>
    </row>
    <row r="1399" spans="1:5" hidden="1">
      <c r="A1399" s="43"/>
      <c r="B1399" s="56">
        <v>72291</v>
      </c>
      <c r="C1399" s="92" t="s">
        <v>882</v>
      </c>
      <c r="D1399" s="56" t="s">
        <v>2930</v>
      </c>
      <c r="E1399" s="84"/>
    </row>
    <row r="1400" spans="1:5" hidden="1">
      <c r="A1400" s="43"/>
      <c r="B1400" s="56">
        <v>72300</v>
      </c>
      <c r="C1400" s="92" t="s">
        <v>883</v>
      </c>
      <c r="D1400" s="56" t="s">
        <v>2930</v>
      </c>
      <c r="E1400" s="84"/>
    </row>
    <row r="1401" spans="1:5" hidden="1">
      <c r="A1401" s="43"/>
      <c r="B1401" s="56">
        <v>72301</v>
      </c>
      <c r="C1401" s="92" t="s">
        <v>884</v>
      </c>
      <c r="D1401" s="56" t="s">
        <v>2930</v>
      </c>
      <c r="E1401" s="84"/>
    </row>
    <row r="1402" spans="1:5" hidden="1">
      <c r="A1402" s="43"/>
      <c r="B1402" s="56">
        <v>72302</v>
      </c>
      <c r="C1402" s="92" t="s">
        <v>885</v>
      </c>
      <c r="D1402" s="56" t="s">
        <v>2930</v>
      </c>
      <c r="E1402" s="84"/>
    </row>
    <row r="1403" spans="1:5" hidden="1">
      <c r="A1403" s="43"/>
      <c r="B1403" s="56">
        <v>72303</v>
      </c>
      <c r="C1403" s="92" t="s">
        <v>886</v>
      </c>
      <c r="D1403" s="56" t="s">
        <v>2930</v>
      </c>
      <c r="E1403" s="84"/>
    </row>
    <row r="1404" spans="1:5" hidden="1">
      <c r="A1404" s="43"/>
      <c r="B1404" s="56">
        <v>72304</v>
      </c>
      <c r="C1404" s="92" t="s">
        <v>887</v>
      </c>
      <c r="D1404" s="56" t="s">
        <v>2930</v>
      </c>
      <c r="E1404" s="84"/>
    </row>
    <row r="1405" spans="1:5" hidden="1">
      <c r="A1405" s="43"/>
      <c r="B1405" s="56">
        <v>72305</v>
      </c>
      <c r="C1405" s="92" t="s">
        <v>888</v>
      </c>
      <c r="D1405" s="56" t="s">
        <v>2930</v>
      </c>
      <c r="E1405" s="84"/>
    </row>
    <row r="1406" spans="1:5" hidden="1">
      <c r="A1406" s="43"/>
      <c r="B1406" s="56">
        <v>72306</v>
      </c>
      <c r="C1406" s="92" t="s">
        <v>889</v>
      </c>
      <c r="D1406" s="56" t="s">
        <v>2930</v>
      </c>
      <c r="E1406" s="84"/>
    </row>
    <row r="1407" spans="1:5" hidden="1">
      <c r="A1407" s="43"/>
      <c r="B1407" s="56">
        <v>72307</v>
      </c>
      <c r="C1407" s="92" t="s">
        <v>890</v>
      </c>
      <c r="D1407" s="56" t="s">
        <v>2930</v>
      </c>
      <c r="E1407" s="84"/>
    </row>
    <row r="1408" spans="1:5" hidden="1">
      <c r="A1408" s="43"/>
      <c r="B1408" s="56">
        <v>72308</v>
      </c>
      <c r="C1408" s="92" t="s">
        <v>891</v>
      </c>
      <c r="D1408" s="56" t="s">
        <v>2930</v>
      </c>
      <c r="E1408" s="84"/>
    </row>
    <row r="1409" spans="1:6" hidden="1">
      <c r="A1409" s="43"/>
      <c r="B1409" s="56">
        <v>72309</v>
      </c>
      <c r="C1409" s="92" t="s">
        <v>892</v>
      </c>
      <c r="D1409" s="56" t="s">
        <v>2930</v>
      </c>
      <c r="E1409" s="84"/>
    </row>
    <row r="1410" spans="1:6" hidden="1">
      <c r="A1410" s="43"/>
      <c r="B1410" s="56">
        <v>72310</v>
      </c>
      <c r="C1410" s="92" t="s">
        <v>893</v>
      </c>
      <c r="D1410" s="56" t="s">
        <v>2930</v>
      </c>
      <c r="E1410" s="84"/>
    </row>
    <row r="1411" spans="1:6" hidden="1">
      <c r="A1411" s="43"/>
      <c r="B1411" s="56">
        <v>72311</v>
      </c>
      <c r="C1411" s="92" t="s">
        <v>894</v>
      </c>
      <c r="D1411" s="56" t="s">
        <v>2930</v>
      </c>
      <c r="E1411" s="84"/>
    </row>
    <row r="1412" spans="1:6" hidden="1">
      <c r="A1412" s="43"/>
      <c r="B1412" s="56">
        <v>72312</v>
      </c>
      <c r="C1412" s="92" t="s">
        <v>895</v>
      </c>
      <c r="D1412" s="56" t="s">
        <v>2930</v>
      </c>
      <c r="E1412" s="84"/>
    </row>
    <row r="1413" spans="1:6" hidden="1">
      <c r="A1413" s="43"/>
      <c r="B1413" s="56">
        <v>72320</v>
      </c>
      <c r="C1413" s="92" t="s">
        <v>896</v>
      </c>
      <c r="D1413" s="56" t="s">
        <v>2930</v>
      </c>
      <c r="E1413" s="84"/>
    </row>
    <row r="1414" spans="1:6" hidden="1">
      <c r="A1414" s="43"/>
      <c r="B1414" s="56">
        <v>72325</v>
      </c>
      <c r="C1414" s="92" t="s">
        <v>897</v>
      </c>
      <c r="D1414" s="56" t="s">
        <v>2930</v>
      </c>
      <c r="E1414" s="84"/>
    </row>
    <row r="1415" spans="1:6">
      <c r="A1415" s="91" t="s">
        <v>3793</v>
      </c>
      <c r="B1415" s="56">
        <v>72326</v>
      </c>
      <c r="C1415" s="92" t="s">
        <v>898</v>
      </c>
      <c r="D1415" s="56" t="s">
        <v>2930</v>
      </c>
      <c r="E1415" s="84">
        <f>ROUND(SUM(E1416:E1417),2)</f>
        <v>21</v>
      </c>
    </row>
    <row r="1416" spans="1:6" s="47" customFormat="1" ht="22.8">
      <c r="A1416" s="93"/>
      <c r="B1416" s="99"/>
      <c r="C1416" s="102" t="s">
        <v>2998</v>
      </c>
      <c r="D1416" s="99" t="s">
        <v>2488</v>
      </c>
      <c r="E1416" s="113">
        <v>6</v>
      </c>
      <c r="F1416" s="163"/>
    </row>
    <row r="1417" spans="1:6" s="47" customFormat="1" ht="22.8">
      <c r="A1417" s="93"/>
      <c r="B1417" s="99"/>
      <c r="C1417" s="102" t="s">
        <v>2997</v>
      </c>
      <c r="D1417" s="99" t="s">
        <v>2488</v>
      </c>
      <c r="E1417" s="113">
        <v>15</v>
      </c>
      <c r="F1417" s="163"/>
    </row>
    <row r="1418" spans="1:6">
      <c r="A1418" s="43"/>
      <c r="B1418" s="56"/>
      <c r="C1418" s="92"/>
      <c r="D1418" s="56"/>
      <c r="E1418" s="84"/>
    </row>
    <row r="1419" spans="1:6" hidden="1">
      <c r="A1419" s="43"/>
      <c r="B1419" s="56">
        <v>72327</v>
      </c>
      <c r="C1419" s="92" t="s">
        <v>899</v>
      </c>
      <c r="D1419" s="56" t="s">
        <v>2930</v>
      </c>
      <c r="E1419" s="84"/>
    </row>
    <row r="1420" spans="1:6" hidden="1">
      <c r="A1420" s="43"/>
      <c r="B1420" s="56">
        <v>72328</v>
      </c>
      <c r="C1420" s="92" t="s">
        <v>900</v>
      </c>
      <c r="D1420" s="56" t="s">
        <v>2930</v>
      </c>
      <c r="E1420" s="84"/>
    </row>
    <row r="1421" spans="1:6" ht="26.4" hidden="1">
      <c r="A1421" s="43"/>
      <c r="B1421" s="56">
        <v>72329</v>
      </c>
      <c r="C1421" s="92" t="s">
        <v>901</v>
      </c>
      <c r="D1421" s="56" t="s">
        <v>2930</v>
      </c>
      <c r="E1421" s="84"/>
    </row>
    <row r="1422" spans="1:6" hidden="1">
      <c r="A1422" s="43"/>
      <c r="B1422" s="56">
        <v>72330</v>
      </c>
      <c r="C1422" s="92" t="s">
        <v>902</v>
      </c>
      <c r="D1422" s="56" t="s">
        <v>2930</v>
      </c>
      <c r="E1422" s="84"/>
    </row>
    <row r="1423" spans="1:6" hidden="1">
      <c r="A1423" s="43"/>
      <c r="B1423" s="56">
        <v>72335</v>
      </c>
      <c r="C1423" s="92" t="s">
        <v>903</v>
      </c>
      <c r="D1423" s="56" t="s">
        <v>2930</v>
      </c>
      <c r="E1423" s="84"/>
    </row>
    <row r="1424" spans="1:6" hidden="1">
      <c r="A1424" s="43"/>
      <c r="B1424" s="56">
        <v>72338</v>
      </c>
      <c r="C1424" s="92" t="s">
        <v>904</v>
      </c>
      <c r="D1424" s="56" t="s">
        <v>2930</v>
      </c>
      <c r="E1424" s="84"/>
    </row>
    <row r="1425" spans="1:6" hidden="1">
      <c r="A1425" s="43"/>
      <c r="B1425" s="56">
        <v>72341</v>
      </c>
      <c r="C1425" s="92" t="s">
        <v>905</v>
      </c>
      <c r="D1425" s="56" t="s">
        <v>2930</v>
      </c>
      <c r="E1425" s="84"/>
    </row>
    <row r="1426" spans="1:6" ht="26.4" hidden="1">
      <c r="A1426" s="43"/>
      <c r="B1426" s="56">
        <v>72366</v>
      </c>
      <c r="C1426" s="92" t="s">
        <v>906</v>
      </c>
      <c r="D1426" s="56" t="s">
        <v>2930</v>
      </c>
      <c r="E1426" s="84"/>
    </row>
    <row r="1427" spans="1:6" ht="26.4" hidden="1">
      <c r="A1427" s="43"/>
      <c r="B1427" s="56">
        <v>72367</v>
      </c>
      <c r="C1427" s="92" t="s">
        <v>907</v>
      </c>
      <c r="D1427" s="56" t="s">
        <v>2930</v>
      </c>
      <c r="E1427" s="84"/>
    </row>
    <row r="1428" spans="1:6" ht="26.4" hidden="1">
      <c r="A1428" s="43"/>
      <c r="B1428" s="56">
        <v>72368</v>
      </c>
      <c r="C1428" s="92" t="s">
        <v>908</v>
      </c>
      <c r="D1428" s="56" t="s">
        <v>2930</v>
      </c>
      <c r="E1428" s="84"/>
    </row>
    <row r="1429" spans="1:6" ht="26.4" hidden="1">
      <c r="A1429" s="43"/>
      <c r="B1429" s="56">
        <v>72369</v>
      </c>
      <c r="C1429" s="92" t="s">
        <v>909</v>
      </c>
      <c r="D1429" s="56" t="s">
        <v>2930</v>
      </c>
      <c r="E1429" s="84"/>
    </row>
    <row r="1430" spans="1:6" ht="26.4" hidden="1">
      <c r="A1430" s="43"/>
      <c r="B1430" s="56">
        <v>72370</v>
      </c>
      <c r="C1430" s="92" t="s">
        <v>910</v>
      </c>
      <c r="D1430" s="56" t="s">
        <v>2930</v>
      </c>
      <c r="E1430" s="84"/>
    </row>
    <row r="1431" spans="1:6" hidden="1">
      <c r="A1431" s="43"/>
      <c r="B1431" s="56">
        <v>72371</v>
      </c>
      <c r="C1431" s="92" t="s">
        <v>911</v>
      </c>
      <c r="D1431" s="56" t="s">
        <v>2930</v>
      </c>
      <c r="E1431" s="84"/>
    </row>
    <row r="1432" spans="1:6" ht="26.4" hidden="1">
      <c r="A1432" s="43"/>
      <c r="B1432" s="56">
        <v>72372</v>
      </c>
      <c r="C1432" s="92" t="s">
        <v>912</v>
      </c>
      <c r="D1432" s="56" t="s">
        <v>2930</v>
      </c>
      <c r="E1432" s="84"/>
    </row>
    <row r="1433" spans="1:6" hidden="1">
      <c r="A1433" s="43"/>
      <c r="B1433" s="56">
        <v>72373</v>
      </c>
      <c r="C1433" s="92" t="s">
        <v>913</v>
      </c>
      <c r="D1433" s="56" t="s">
        <v>2930</v>
      </c>
      <c r="E1433" s="84"/>
    </row>
    <row r="1434" spans="1:6" hidden="1">
      <c r="A1434" s="43"/>
      <c r="B1434" s="56">
        <v>72374</v>
      </c>
      <c r="C1434" s="92" t="s">
        <v>914</v>
      </c>
      <c r="D1434" s="56" t="s">
        <v>2930</v>
      </c>
      <c r="E1434" s="84"/>
    </row>
    <row r="1435" spans="1:6" hidden="1">
      <c r="A1435" s="43"/>
      <c r="B1435" s="56">
        <v>72375</v>
      </c>
      <c r="C1435" s="92" t="s">
        <v>915</v>
      </c>
      <c r="D1435" s="56" t="s">
        <v>2930</v>
      </c>
      <c r="E1435" s="84"/>
    </row>
    <row r="1436" spans="1:6" hidden="1">
      <c r="A1436" s="43"/>
      <c r="B1436" s="56">
        <v>72376</v>
      </c>
      <c r="C1436" s="92" t="s">
        <v>916</v>
      </c>
      <c r="D1436" s="56" t="s">
        <v>136</v>
      </c>
      <c r="E1436" s="84"/>
    </row>
    <row r="1437" spans="1:6" hidden="1">
      <c r="A1437" s="43"/>
      <c r="B1437" s="56">
        <v>72385</v>
      </c>
      <c r="C1437" s="92" t="s">
        <v>917</v>
      </c>
      <c r="D1437" s="56" t="s">
        <v>2930</v>
      </c>
      <c r="E1437" s="84"/>
    </row>
    <row r="1438" spans="1:6">
      <c r="A1438" s="91" t="s">
        <v>3794</v>
      </c>
      <c r="B1438" s="56">
        <v>72395</v>
      </c>
      <c r="C1438" s="92" t="s">
        <v>918</v>
      </c>
      <c r="D1438" s="56" t="s">
        <v>2930</v>
      </c>
      <c r="E1438" s="84">
        <f>ROUND(SUM(E1439:E1439),2)</f>
        <v>7</v>
      </c>
    </row>
    <row r="1439" spans="1:6" s="47" customFormat="1" ht="22.8">
      <c r="A1439" s="93"/>
      <c r="B1439" s="99"/>
      <c r="C1439" s="102" t="s">
        <v>2987</v>
      </c>
      <c r="D1439" s="99" t="s">
        <v>2930</v>
      </c>
      <c r="E1439" s="113">
        <v>7</v>
      </c>
      <c r="F1439" s="163"/>
    </row>
    <row r="1440" spans="1:6">
      <c r="A1440" s="43"/>
      <c r="B1440" s="56"/>
      <c r="C1440" s="92"/>
      <c r="D1440" s="56"/>
      <c r="E1440" s="84"/>
    </row>
    <row r="1441" spans="1:6" ht="26.4" hidden="1">
      <c r="A1441" s="43"/>
      <c r="B1441" s="56">
        <v>72397</v>
      </c>
      <c r="C1441" s="92" t="s">
        <v>919</v>
      </c>
      <c r="D1441" s="56" t="s">
        <v>2930</v>
      </c>
      <c r="E1441" s="84"/>
    </row>
    <row r="1442" spans="1:6" hidden="1">
      <c r="A1442" s="43"/>
      <c r="B1442" s="56">
        <v>72400</v>
      </c>
      <c r="C1442" s="92" t="s">
        <v>920</v>
      </c>
      <c r="D1442" s="56" t="s">
        <v>2930</v>
      </c>
      <c r="E1442" s="84"/>
    </row>
    <row r="1443" spans="1:6" hidden="1">
      <c r="A1443" s="43"/>
      <c r="B1443" s="56">
        <v>72420</v>
      </c>
      <c r="C1443" s="92" t="s">
        <v>921</v>
      </c>
      <c r="D1443" s="56" t="s">
        <v>2930</v>
      </c>
      <c r="E1443" s="84"/>
    </row>
    <row r="1444" spans="1:6" hidden="1">
      <c r="A1444" s="43"/>
      <c r="B1444" s="56">
        <v>72425</v>
      </c>
      <c r="C1444" s="92" t="s">
        <v>922</v>
      </c>
      <c r="D1444" s="56" t="s">
        <v>2930</v>
      </c>
      <c r="E1444" s="84"/>
    </row>
    <row r="1445" spans="1:6" hidden="1">
      <c r="A1445" s="43"/>
      <c r="B1445" s="56">
        <v>72430</v>
      </c>
      <c r="C1445" s="92" t="s">
        <v>923</v>
      </c>
      <c r="D1445" s="56" t="s">
        <v>2930</v>
      </c>
      <c r="E1445" s="84"/>
    </row>
    <row r="1446" spans="1:6" hidden="1">
      <c r="A1446" s="43"/>
      <c r="B1446" s="56">
        <v>72435</v>
      </c>
      <c r="C1446" s="92" t="s">
        <v>924</v>
      </c>
      <c r="D1446" s="56" t="s">
        <v>2930</v>
      </c>
      <c r="E1446" s="84"/>
    </row>
    <row r="1447" spans="1:6" hidden="1">
      <c r="A1447" s="43"/>
      <c r="B1447" s="56">
        <v>72441</v>
      </c>
      <c r="C1447" s="92" t="s">
        <v>925</v>
      </c>
      <c r="D1447" s="56" t="s">
        <v>2930</v>
      </c>
      <c r="E1447" s="84"/>
    </row>
    <row r="1448" spans="1:6" ht="26.4" hidden="1">
      <c r="A1448" s="43"/>
      <c r="B1448" s="56">
        <v>72442</v>
      </c>
      <c r="C1448" s="92" t="s">
        <v>926</v>
      </c>
      <c r="D1448" s="56" t="s">
        <v>2930</v>
      </c>
      <c r="E1448" s="84"/>
    </row>
    <row r="1449" spans="1:6" hidden="1">
      <c r="A1449" s="43"/>
      <c r="B1449" s="56">
        <v>72450</v>
      </c>
      <c r="C1449" s="92" t="s">
        <v>927</v>
      </c>
      <c r="D1449" s="56" t="s">
        <v>2930</v>
      </c>
      <c r="E1449" s="84"/>
    </row>
    <row r="1450" spans="1:6" hidden="1">
      <c r="A1450" s="43"/>
      <c r="B1450" s="56">
        <v>72455</v>
      </c>
      <c r="C1450" s="92" t="s">
        <v>928</v>
      </c>
      <c r="D1450" s="56" t="s">
        <v>2930</v>
      </c>
      <c r="E1450" s="84"/>
    </row>
    <row r="1451" spans="1:6" ht="26.4" hidden="1">
      <c r="A1451" s="43"/>
      <c r="B1451" s="56">
        <v>72460</v>
      </c>
      <c r="C1451" s="92" t="s">
        <v>929</v>
      </c>
      <c r="D1451" s="56" t="s">
        <v>2930</v>
      </c>
      <c r="E1451" s="84"/>
    </row>
    <row r="1452" spans="1:6">
      <c r="A1452" s="91" t="s">
        <v>3795</v>
      </c>
      <c r="B1452" s="56">
        <v>72465</v>
      </c>
      <c r="C1452" s="92" t="s">
        <v>930</v>
      </c>
      <c r="D1452" s="56" t="s">
        <v>2930</v>
      </c>
      <c r="E1452" s="84">
        <f>ROUND(E1453,2)</f>
        <v>3</v>
      </c>
    </row>
    <row r="1453" spans="1:6" s="47" customFormat="1" ht="22.8">
      <c r="A1453" s="93"/>
      <c r="B1453" s="99"/>
      <c r="C1453" s="102" t="s">
        <v>3027</v>
      </c>
      <c r="D1453" s="99" t="s">
        <v>2930</v>
      </c>
      <c r="E1453" s="113">
        <v>3</v>
      </c>
      <c r="F1453" s="163"/>
    </row>
    <row r="1454" spans="1:6">
      <c r="A1454" s="43"/>
      <c r="B1454" s="56"/>
      <c r="C1454" s="92"/>
      <c r="D1454" s="56"/>
      <c r="E1454" s="84"/>
    </row>
    <row r="1455" spans="1:6">
      <c r="A1455" s="91" t="s">
        <v>3796</v>
      </c>
      <c r="B1455" s="56">
        <v>72475</v>
      </c>
      <c r="C1455" s="92" t="s">
        <v>931</v>
      </c>
      <c r="D1455" s="56" t="s">
        <v>2930</v>
      </c>
      <c r="E1455" s="84">
        <f>ROUND(SUM(E1456:E1457),2)</f>
        <v>23</v>
      </c>
      <c r="F1455" s="166"/>
    </row>
    <row r="1456" spans="1:6" s="47" customFormat="1" ht="22.8">
      <c r="A1456" s="93"/>
      <c r="B1456" s="99"/>
      <c r="C1456" s="102" t="s">
        <v>3026</v>
      </c>
      <c r="D1456" s="99" t="s">
        <v>2930</v>
      </c>
      <c r="E1456" s="113">
        <v>5</v>
      </c>
      <c r="F1456" s="163"/>
    </row>
    <row r="1457" spans="1:6" s="47" customFormat="1" ht="22.8">
      <c r="A1457" s="93"/>
      <c r="B1457" s="99"/>
      <c r="C1457" s="102" t="s">
        <v>3025</v>
      </c>
      <c r="D1457" s="99" t="s">
        <v>2930</v>
      </c>
      <c r="E1457" s="113">
        <v>18</v>
      </c>
      <c r="F1457" s="163"/>
    </row>
    <row r="1458" spans="1:6">
      <c r="A1458" s="43"/>
      <c r="B1458" s="56"/>
      <c r="C1458" s="92"/>
      <c r="D1458" s="56"/>
      <c r="E1458" s="84"/>
    </row>
    <row r="1459" spans="1:6">
      <c r="A1459" s="91" t="s">
        <v>3797</v>
      </c>
      <c r="B1459" s="56">
        <v>72476</v>
      </c>
      <c r="C1459" s="92" t="s">
        <v>932</v>
      </c>
      <c r="D1459" s="56" t="s">
        <v>2930</v>
      </c>
      <c r="E1459" s="84">
        <f>ROUND(SUM(E1460:E1461),2)</f>
        <v>38</v>
      </c>
      <c r="F1459" s="166"/>
    </row>
    <row r="1460" spans="1:6" s="47" customFormat="1" ht="22.8">
      <c r="A1460" s="93"/>
      <c r="B1460" s="99"/>
      <c r="C1460" s="102" t="s">
        <v>2989</v>
      </c>
      <c r="D1460" s="99" t="s">
        <v>2930</v>
      </c>
      <c r="E1460" s="113">
        <v>20</v>
      </c>
      <c r="F1460" s="165"/>
    </row>
    <row r="1461" spans="1:6" s="47" customFormat="1" ht="22.8">
      <c r="A1461" s="93"/>
      <c r="B1461" s="99"/>
      <c r="C1461" s="102" t="s">
        <v>2988</v>
      </c>
      <c r="D1461" s="99" t="s">
        <v>2930</v>
      </c>
      <c r="E1461" s="113">
        <v>18</v>
      </c>
      <c r="F1461" s="165"/>
    </row>
    <row r="1462" spans="1:6">
      <c r="A1462" s="43"/>
      <c r="B1462" s="56"/>
      <c r="C1462" s="92"/>
      <c r="D1462" s="56"/>
      <c r="E1462" s="84"/>
    </row>
    <row r="1463" spans="1:6" hidden="1">
      <c r="A1463" s="43"/>
      <c r="B1463" s="56">
        <v>72500</v>
      </c>
      <c r="C1463" s="92" t="s">
        <v>933</v>
      </c>
      <c r="D1463" s="56" t="s">
        <v>2930</v>
      </c>
      <c r="E1463" s="84"/>
    </row>
    <row r="1464" spans="1:6" hidden="1">
      <c r="A1464" s="43"/>
      <c r="B1464" s="56">
        <v>72501</v>
      </c>
      <c r="C1464" s="92" t="s">
        <v>934</v>
      </c>
      <c r="D1464" s="56" t="s">
        <v>2930</v>
      </c>
      <c r="E1464" s="84"/>
    </row>
    <row r="1465" spans="1:6" hidden="1">
      <c r="A1465" s="43"/>
      <c r="B1465" s="56">
        <v>72510</v>
      </c>
      <c r="C1465" s="92" t="s">
        <v>935</v>
      </c>
      <c r="D1465" s="56" t="s">
        <v>2930</v>
      </c>
      <c r="E1465" s="84"/>
    </row>
    <row r="1466" spans="1:6" hidden="1">
      <c r="A1466" s="43"/>
      <c r="B1466" s="56">
        <v>72515</v>
      </c>
      <c r="C1466" s="92" t="s">
        <v>936</v>
      </c>
      <c r="D1466" s="56" t="s">
        <v>2930</v>
      </c>
      <c r="E1466" s="84"/>
    </row>
    <row r="1467" spans="1:6" hidden="1">
      <c r="A1467" s="43"/>
      <c r="B1467" s="56">
        <v>72518</v>
      </c>
      <c r="C1467" s="92" t="s">
        <v>937</v>
      </c>
      <c r="D1467" s="56" t="s">
        <v>2930</v>
      </c>
      <c r="E1467" s="84"/>
    </row>
    <row r="1468" spans="1:6" hidden="1">
      <c r="A1468" s="43"/>
      <c r="B1468" s="56">
        <v>72520</v>
      </c>
      <c r="C1468" s="92" t="s">
        <v>938</v>
      </c>
      <c r="D1468" s="56" t="s">
        <v>2930</v>
      </c>
      <c r="E1468" s="84"/>
    </row>
    <row r="1469" spans="1:6" hidden="1">
      <c r="A1469" s="43"/>
      <c r="B1469" s="56">
        <v>72523</v>
      </c>
      <c r="C1469" s="92" t="s">
        <v>939</v>
      </c>
      <c r="D1469" s="56" t="s">
        <v>2930</v>
      </c>
      <c r="E1469" s="84"/>
    </row>
    <row r="1470" spans="1:6" hidden="1">
      <c r="A1470" s="43"/>
      <c r="B1470" s="56">
        <v>72528</v>
      </c>
      <c r="C1470" s="92" t="s">
        <v>940</v>
      </c>
      <c r="D1470" s="56" t="s">
        <v>2930</v>
      </c>
      <c r="E1470" s="84"/>
    </row>
    <row r="1471" spans="1:6" hidden="1">
      <c r="A1471" s="43"/>
      <c r="B1471" s="56">
        <v>72532</v>
      </c>
      <c r="C1471" s="92" t="s">
        <v>941</v>
      </c>
      <c r="D1471" s="56" t="s">
        <v>2930</v>
      </c>
      <c r="E1471" s="84"/>
    </row>
    <row r="1472" spans="1:6" hidden="1">
      <c r="A1472" s="43"/>
      <c r="B1472" s="56">
        <v>72535</v>
      </c>
      <c r="C1472" s="92" t="s">
        <v>942</v>
      </c>
      <c r="D1472" s="56" t="s">
        <v>2930</v>
      </c>
      <c r="E1472" s="84"/>
    </row>
    <row r="1473" spans="1:6" hidden="1">
      <c r="A1473" s="43"/>
      <c r="B1473" s="56">
        <v>72538</v>
      </c>
      <c r="C1473" s="92" t="s">
        <v>943</v>
      </c>
      <c r="D1473" s="56" t="s">
        <v>2930</v>
      </c>
      <c r="E1473" s="84"/>
    </row>
    <row r="1474" spans="1:6" hidden="1">
      <c r="A1474" s="43"/>
      <c r="B1474" s="56">
        <v>72545</v>
      </c>
      <c r="C1474" s="92" t="s">
        <v>944</v>
      </c>
      <c r="D1474" s="56" t="s">
        <v>2930</v>
      </c>
      <c r="E1474" s="84"/>
    </row>
    <row r="1475" spans="1:6" hidden="1">
      <c r="A1475" s="43"/>
      <c r="B1475" s="56">
        <v>72550</v>
      </c>
      <c r="C1475" s="92" t="s">
        <v>945</v>
      </c>
      <c r="D1475" s="56" t="s">
        <v>2930</v>
      </c>
      <c r="E1475" s="84"/>
    </row>
    <row r="1476" spans="1:6">
      <c r="A1476" s="91" t="s">
        <v>3798</v>
      </c>
      <c r="B1476" s="56">
        <v>72556</v>
      </c>
      <c r="C1476" s="92" t="s">
        <v>946</v>
      </c>
      <c r="D1476" s="56" t="s">
        <v>2930</v>
      </c>
      <c r="E1476" s="84">
        <f>ROUND(SUM(E1477:E1478),2)</f>
        <v>19</v>
      </c>
      <c r="F1476" s="166"/>
    </row>
    <row r="1477" spans="1:6" ht="22.8">
      <c r="A1477" s="93"/>
      <c r="B1477" s="99"/>
      <c r="C1477" s="102" t="s">
        <v>2925</v>
      </c>
      <c r="D1477" s="99" t="s">
        <v>2930</v>
      </c>
      <c r="E1477" s="113">
        <v>3</v>
      </c>
      <c r="F1477" s="165"/>
    </row>
    <row r="1478" spans="1:6" ht="22.8">
      <c r="A1478" s="93"/>
      <c r="B1478" s="99"/>
      <c r="C1478" s="102" t="s">
        <v>2926</v>
      </c>
      <c r="D1478" s="99" t="s">
        <v>2930</v>
      </c>
      <c r="E1478" s="113">
        <v>16</v>
      </c>
      <c r="F1478" s="165"/>
    </row>
    <row r="1479" spans="1:6">
      <c r="A1479" s="43"/>
      <c r="B1479" s="56"/>
      <c r="C1479" s="92"/>
      <c r="D1479" s="56"/>
      <c r="E1479" s="84"/>
    </row>
    <row r="1480" spans="1:6" hidden="1">
      <c r="A1480" s="43"/>
      <c r="B1480" s="56">
        <v>72560</v>
      </c>
      <c r="C1480" s="92" t="s">
        <v>947</v>
      </c>
      <c r="D1480" s="56" t="s">
        <v>2930</v>
      </c>
      <c r="E1480" s="84"/>
    </row>
    <row r="1481" spans="1:6" ht="26.4" hidden="1">
      <c r="A1481" s="43"/>
      <c r="B1481" s="56">
        <v>72570</v>
      </c>
      <c r="C1481" s="92" t="s">
        <v>948</v>
      </c>
      <c r="D1481" s="56" t="s">
        <v>2930</v>
      </c>
      <c r="E1481" s="84"/>
    </row>
    <row r="1482" spans="1:6" ht="26.4" hidden="1">
      <c r="A1482" s="43"/>
      <c r="B1482" s="56">
        <v>72575</v>
      </c>
      <c r="C1482" s="92" t="s">
        <v>949</v>
      </c>
      <c r="D1482" s="56" t="s">
        <v>2930</v>
      </c>
      <c r="E1482" s="84"/>
    </row>
    <row r="1483" spans="1:6">
      <c r="A1483" s="91" t="s">
        <v>3799</v>
      </c>
      <c r="B1483" s="56">
        <v>72578</v>
      </c>
      <c r="C1483" s="92" t="s">
        <v>950</v>
      </c>
      <c r="D1483" s="56" t="s">
        <v>2930</v>
      </c>
      <c r="E1483" s="84">
        <f>ROUND(SUM(E1484:E1486),2)</f>
        <v>37</v>
      </c>
      <c r="F1483" s="166"/>
    </row>
    <row r="1484" spans="1:6" s="47" customFormat="1" ht="22.8">
      <c r="A1484" s="93"/>
      <c r="B1484" s="99"/>
      <c r="C1484" s="102" t="s">
        <v>2989</v>
      </c>
      <c r="D1484" s="99" t="s">
        <v>2930</v>
      </c>
      <c r="E1484" s="113">
        <v>20</v>
      </c>
      <c r="F1484" s="163"/>
    </row>
    <row r="1485" spans="1:6" s="47" customFormat="1" ht="22.8">
      <c r="A1485" s="93"/>
      <c r="B1485" s="99"/>
      <c r="C1485" s="102" t="s">
        <v>2990</v>
      </c>
      <c r="D1485" s="99" t="s">
        <v>2930</v>
      </c>
      <c r="E1485" s="113">
        <f>8*2</f>
        <v>16</v>
      </c>
      <c r="F1485" s="163"/>
    </row>
    <row r="1486" spans="1:6" s="47" customFormat="1" ht="22.8">
      <c r="A1486" s="93"/>
      <c r="B1486" s="99"/>
      <c r="C1486" s="102" t="s">
        <v>2984</v>
      </c>
      <c r="D1486" s="99" t="s">
        <v>2930</v>
      </c>
      <c r="E1486" s="113">
        <v>1</v>
      </c>
      <c r="F1486" s="163"/>
    </row>
    <row r="1487" spans="1:6">
      <c r="A1487" s="43"/>
      <c r="B1487" s="56"/>
      <c r="C1487" s="92"/>
      <c r="D1487" s="56"/>
      <c r="E1487" s="84"/>
    </row>
    <row r="1488" spans="1:6">
      <c r="A1488" s="91" t="s">
        <v>3800</v>
      </c>
      <c r="B1488" s="56">
        <v>72579</v>
      </c>
      <c r="C1488" s="92" t="s">
        <v>951</v>
      </c>
      <c r="D1488" s="56" t="s">
        <v>2930</v>
      </c>
      <c r="E1488" s="84">
        <f>ROUND(SUM(E1489:E1489),2)</f>
        <v>53</v>
      </c>
    </row>
    <row r="1489" spans="1:6" ht="22.8">
      <c r="A1489" s="93"/>
      <c r="B1489" s="99"/>
      <c r="C1489" s="102" t="s">
        <v>2983</v>
      </c>
      <c r="D1489" s="99" t="s">
        <v>2930</v>
      </c>
      <c r="E1489" s="113">
        <v>53</v>
      </c>
      <c r="F1489" s="165"/>
    </row>
    <row r="1490" spans="1:6">
      <c r="A1490" s="43"/>
      <c r="B1490" s="56"/>
      <c r="C1490" s="92"/>
      <c r="D1490" s="56"/>
      <c r="E1490" s="84"/>
    </row>
    <row r="1491" spans="1:6">
      <c r="A1491" s="91" t="s">
        <v>3801</v>
      </c>
      <c r="B1491" s="56">
        <v>72585</v>
      </c>
      <c r="C1491" s="92" t="s">
        <v>952</v>
      </c>
      <c r="D1491" s="56" t="s">
        <v>2930</v>
      </c>
      <c r="E1491" s="84">
        <f>ROUND(E1492,2)</f>
        <v>18</v>
      </c>
    </row>
    <row r="1492" spans="1:6" ht="22.8">
      <c r="A1492" s="93"/>
      <c r="B1492" s="99"/>
      <c r="C1492" s="102" t="s">
        <v>2988</v>
      </c>
      <c r="D1492" s="99" t="s">
        <v>2930</v>
      </c>
      <c r="E1492" s="113">
        <v>18</v>
      </c>
    </row>
    <row r="1493" spans="1:6">
      <c r="A1493" s="43"/>
      <c r="B1493" s="56"/>
      <c r="C1493" s="92"/>
      <c r="D1493" s="56"/>
      <c r="E1493" s="84"/>
    </row>
    <row r="1494" spans="1:6" hidden="1">
      <c r="A1494" s="43"/>
      <c r="B1494" s="56">
        <v>72591</v>
      </c>
      <c r="C1494" s="92" t="s">
        <v>953</v>
      </c>
      <c r="D1494" s="56" t="s">
        <v>2930</v>
      </c>
      <c r="E1494" s="84"/>
    </row>
    <row r="1495" spans="1:6" hidden="1">
      <c r="A1495" s="43"/>
      <c r="B1495" s="56">
        <v>72596</v>
      </c>
      <c r="C1495" s="92" t="s">
        <v>954</v>
      </c>
      <c r="D1495" s="56" t="s">
        <v>2930</v>
      </c>
      <c r="E1495" s="84"/>
    </row>
    <row r="1496" spans="1:6" hidden="1">
      <c r="A1496" s="43"/>
      <c r="B1496" s="56">
        <v>72600</v>
      </c>
      <c r="C1496" s="92" t="s">
        <v>955</v>
      </c>
      <c r="D1496" s="56" t="s">
        <v>2930</v>
      </c>
      <c r="E1496" s="84"/>
    </row>
    <row r="1497" spans="1:6" hidden="1">
      <c r="A1497" s="43"/>
      <c r="B1497" s="56">
        <v>72601</v>
      </c>
      <c r="C1497" s="92" t="s">
        <v>956</v>
      </c>
      <c r="D1497" s="56" t="s">
        <v>2930</v>
      </c>
      <c r="E1497" s="84"/>
    </row>
    <row r="1498" spans="1:6" hidden="1">
      <c r="A1498" s="43"/>
      <c r="B1498" s="56">
        <v>72611</v>
      </c>
      <c r="C1498" s="92" t="s">
        <v>957</v>
      </c>
      <c r="D1498" s="56" t="s">
        <v>2930</v>
      </c>
      <c r="E1498" s="84"/>
    </row>
    <row r="1499" spans="1:6" hidden="1">
      <c r="A1499" s="43"/>
      <c r="B1499" s="56">
        <v>72612</v>
      </c>
      <c r="C1499" s="92" t="s">
        <v>958</v>
      </c>
      <c r="D1499" s="56" t="s">
        <v>2930</v>
      </c>
      <c r="E1499" s="84"/>
    </row>
    <row r="1500" spans="1:6" hidden="1">
      <c r="A1500" s="43"/>
      <c r="B1500" s="56">
        <v>72613</v>
      </c>
      <c r="C1500" s="92" t="s">
        <v>959</v>
      </c>
      <c r="D1500" s="56" t="s">
        <v>2930</v>
      </c>
      <c r="E1500" s="84"/>
    </row>
    <row r="1501" spans="1:6" hidden="1">
      <c r="A1501" s="43"/>
      <c r="B1501" s="56">
        <v>72614</v>
      </c>
      <c r="C1501" s="92" t="s">
        <v>960</v>
      </c>
      <c r="D1501" s="56" t="s">
        <v>2930</v>
      </c>
      <c r="E1501" s="84"/>
    </row>
    <row r="1502" spans="1:6" hidden="1">
      <c r="A1502" s="43"/>
      <c r="B1502" s="56">
        <v>72618</v>
      </c>
      <c r="C1502" s="92" t="s">
        <v>961</v>
      </c>
      <c r="D1502" s="56" t="s">
        <v>2930</v>
      </c>
      <c r="E1502" s="84"/>
    </row>
    <row r="1503" spans="1:6" hidden="1">
      <c r="A1503" s="43"/>
      <c r="B1503" s="56">
        <v>72619</v>
      </c>
      <c r="C1503" s="92" t="s">
        <v>962</v>
      </c>
      <c r="D1503" s="56" t="s">
        <v>2930</v>
      </c>
      <c r="E1503" s="84"/>
    </row>
    <row r="1504" spans="1:6" hidden="1">
      <c r="A1504" s="43"/>
      <c r="B1504" s="56">
        <v>72620</v>
      </c>
      <c r="C1504" s="92" t="s">
        <v>963</v>
      </c>
      <c r="D1504" s="56" t="s">
        <v>2930</v>
      </c>
      <c r="E1504" s="84"/>
    </row>
    <row r="1505" spans="1:6" hidden="1">
      <c r="A1505" s="43"/>
      <c r="B1505" s="56">
        <v>72621</v>
      </c>
      <c r="C1505" s="92" t="s">
        <v>964</v>
      </c>
      <c r="D1505" s="56" t="s">
        <v>2930</v>
      </c>
      <c r="E1505" s="84"/>
    </row>
    <row r="1506" spans="1:6" hidden="1">
      <c r="A1506" s="43"/>
      <c r="B1506" s="56">
        <v>72630</v>
      </c>
      <c r="C1506" s="92" t="s">
        <v>965</v>
      </c>
      <c r="D1506" s="56" t="s">
        <v>136</v>
      </c>
      <c r="E1506" s="84"/>
    </row>
    <row r="1507" spans="1:6" hidden="1">
      <c r="A1507" s="43"/>
      <c r="B1507" s="56">
        <v>72637</v>
      </c>
      <c r="C1507" s="92" t="s">
        <v>966</v>
      </c>
      <c r="D1507" s="56" t="s">
        <v>136</v>
      </c>
      <c r="E1507" s="84"/>
    </row>
    <row r="1508" spans="1:6" hidden="1">
      <c r="A1508" s="43"/>
      <c r="B1508" s="56">
        <v>72638</v>
      </c>
      <c r="C1508" s="92" t="s">
        <v>967</v>
      </c>
      <c r="D1508" s="56" t="s">
        <v>2930</v>
      </c>
      <c r="E1508" s="84"/>
    </row>
    <row r="1509" spans="1:6">
      <c r="A1509" s="91" t="s">
        <v>3802</v>
      </c>
      <c r="B1509" s="56">
        <v>72660</v>
      </c>
      <c r="C1509" s="92" t="s">
        <v>968</v>
      </c>
      <c r="D1509" s="56" t="s">
        <v>136</v>
      </c>
      <c r="E1509" s="84">
        <f>ROUND(SUM(E1510:E1511),2)</f>
        <v>109</v>
      </c>
      <c r="F1509" s="166"/>
    </row>
    <row r="1510" spans="1:6" s="47" customFormat="1" ht="22.8">
      <c r="A1510" s="93"/>
      <c r="B1510" s="99"/>
      <c r="C1510" s="102" t="s">
        <v>3037</v>
      </c>
      <c r="D1510" s="99" t="s">
        <v>2114</v>
      </c>
      <c r="E1510" s="113">
        <f>0.5*107</f>
        <v>53.5</v>
      </c>
      <c r="F1510" s="163"/>
    </row>
    <row r="1511" spans="1:6" s="47" customFormat="1" ht="22.8">
      <c r="A1511" s="93"/>
      <c r="B1511" s="99"/>
      <c r="C1511" s="109" t="s">
        <v>3038</v>
      </c>
      <c r="D1511" s="99" t="s">
        <v>2114</v>
      </c>
      <c r="E1511" s="113">
        <f>0.5*111</f>
        <v>55.5</v>
      </c>
      <c r="F1511" s="163"/>
    </row>
    <row r="1512" spans="1:6">
      <c r="A1512" s="43"/>
      <c r="B1512" s="56"/>
      <c r="C1512" s="92"/>
      <c r="D1512" s="56"/>
      <c r="E1512" s="84"/>
    </row>
    <row r="1513" spans="1:6" hidden="1">
      <c r="A1513" s="43"/>
      <c r="B1513" s="56">
        <v>72661</v>
      </c>
      <c r="C1513" s="92" t="s">
        <v>969</v>
      </c>
      <c r="D1513" s="56" t="s">
        <v>136</v>
      </c>
      <c r="E1513" s="84"/>
    </row>
    <row r="1514" spans="1:6" ht="26.4">
      <c r="A1514" s="91" t="s">
        <v>3803</v>
      </c>
      <c r="B1514" s="56" t="s">
        <v>2558</v>
      </c>
      <c r="C1514" s="114" t="s">
        <v>2499</v>
      </c>
      <c r="D1514" s="115" t="s">
        <v>2930</v>
      </c>
      <c r="E1514" s="84">
        <f>ROUND(E1515,2)</f>
        <v>208</v>
      </c>
    </row>
    <row r="1515" spans="1:6" s="47" customFormat="1" ht="13.2">
      <c r="A1515" s="93"/>
      <c r="B1515" s="99"/>
      <c r="C1515" s="109" t="s">
        <v>2934</v>
      </c>
      <c r="D1515" s="56" t="s">
        <v>2930</v>
      </c>
      <c r="E1515" s="113">
        <v>208</v>
      </c>
      <c r="F1515" s="163"/>
    </row>
    <row r="1516" spans="1:6">
      <c r="A1516" s="43"/>
      <c r="B1516" s="56"/>
      <c r="C1516" s="114"/>
      <c r="D1516" s="115"/>
      <c r="E1516" s="84"/>
    </row>
    <row r="1517" spans="1:6">
      <c r="A1517" s="91" t="s">
        <v>3804</v>
      </c>
      <c r="B1517" s="56" t="s">
        <v>2600</v>
      </c>
      <c r="C1517" s="114" t="s">
        <v>2500</v>
      </c>
      <c r="D1517" s="56" t="s">
        <v>2930</v>
      </c>
      <c r="E1517" s="84">
        <f>ROUND(SUM(E1518:E1519),2)</f>
        <v>218</v>
      </c>
      <c r="F1517" s="166"/>
    </row>
    <row r="1518" spans="1:6" s="47" customFormat="1" ht="22.8">
      <c r="A1518" s="93"/>
      <c r="B1518" s="99"/>
      <c r="C1518" s="109" t="s">
        <v>2943</v>
      </c>
      <c r="D1518" s="108" t="s">
        <v>2488</v>
      </c>
      <c r="E1518" s="113">
        <v>107</v>
      </c>
      <c r="F1518" s="163"/>
    </row>
    <row r="1519" spans="1:6" s="47" customFormat="1" ht="22.8">
      <c r="A1519" s="93"/>
      <c r="B1519" s="99"/>
      <c r="C1519" s="109" t="s">
        <v>2944</v>
      </c>
      <c r="D1519" s="108" t="s">
        <v>2488</v>
      </c>
      <c r="E1519" s="113">
        <v>111</v>
      </c>
      <c r="F1519" s="163"/>
    </row>
    <row r="1520" spans="1:6">
      <c r="A1520" s="43"/>
      <c r="B1520" s="56"/>
      <c r="C1520" s="114"/>
      <c r="D1520" s="115"/>
      <c r="E1520" s="84"/>
    </row>
    <row r="1521" spans="1:6" ht="26.4">
      <c r="A1521" s="91" t="s">
        <v>3805</v>
      </c>
      <c r="B1521" s="56" t="s">
        <v>2559</v>
      </c>
      <c r="C1521" s="114" t="s">
        <v>2556</v>
      </c>
      <c r="D1521" s="56" t="s">
        <v>2930</v>
      </c>
      <c r="E1521" s="84">
        <f>ROUND(SUM(E1522:E1523),2)</f>
        <v>218</v>
      </c>
      <c r="F1521" s="166"/>
    </row>
    <row r="1522" spans="1:6" s="47" customFormat="1" ht="22.8">
      <c r="A1522" s="93"/>
      <c r="B1522" s="99"/>
      <c r="C1522" s="109" t="s">
        <v>2957</v>
      </c>
      <c r="D1522" s="108" t="s">
        <v>2488</v>
      </c>
      <c r="E1522" s="113">
        <v>107</v>
      </c>
      <c r="F1522" s="163"/>
    </row>
    <row r="1523" spans="1:6" s="47" customFormat="1" ht="22.8">
      <c r="A1523" s="93"/>
      <c r="B1523" s="99"/>
      <c r="C1523" s="109" t="s">
        <v>2956</v>
      </c>
      <c r="D1523" s="108" t="s">
        <v>2488</v>
      </c>
      <c r="E1523" s="113">
        <v>111</v>
      </c>
      <c r="F1523" s="163"/>
    </row>
    <row r="1524" spans="1:6">
      <c r="A1524" s="43"/>
      <c r="B1524" s="56"/>
      <c r="C1524" s="114"/>
      <c r="D1524" s="115"/>
      <c r="E1524" s="84"/>
    </row>
    <row r="1525" spans="1:6">
      <c r="A1525" s="91" t="s">
        <v>3806</v>
      </c>
      <c r="B1525" s="56" t="s">
        <v>2560</v>
      </c>
      <c r="C1525" s="114" t="s">
        <v>2501</v>
      </c>
      <c r="D1525" s="56" t="s">
        <v>2930</v>
      </c>
      <c r="E1525" s="84">
        <f>ROUND(SUM(E1526:E1527),2)</f>
        <v>218</v>
      </c>
      <c r="F1525" s="166"/>
    </row>
    <row r="1526" spans="1:6" s="47" customFormat="1" ht="22.8">
      <c r="A1526" s="93"/>
      <c r="B1526" s="99"/>
      <c r="C1526" s="109" t="s">
        <v>2961</v>
      </c>
      <c r="D1526" s="108" t="s">
        <v>2488</v>
      </c>
      <c r="E1526" s="113">
        <v>107</v>
      </c>
      <c r="F1526" s="163"/>
    </row>
    <row r="1527" spans="1:6" s="47" customFormat="1" ht="22.8">
      <c r="A1527" s="93"/>
      <c r="B1527" s="99"/>
      <c r="C1527" s="109" t="s">
        <v>2960</v>
      </c>
      <c r="D1527" s="108" t="s">
        <v>2488</v>
      </c>
      <c r="E1527" s="113">
        <v>111</v>
      </c>
      <c r="F1527" s="163"/>
    </row>
    <row r="1528" spans="1:6">
      <c r="A1528" s="43"/>
      <c r="B1528" s="56"/>
      <c r="C1528" s="114"/>
      <c r="D1528" s="115"/>
      <c r="E1528" s="84"/>
    </row>
    <row r="1529" spans="1:6" ht="26.4">
      <c r="A1529" s="91" t="s">
        <v>3807</v>
      </c>
      <c r="B1529" s="97" t="s">
        <v>2606</v>
      </c>
      <c r="C1529" s="111" t="s">
        <v>3610</v>
      </c>
      <c r="D1529" s="56" t="s">
        <v>2930</v>
      </c>
      <c r="E1529" s="84">
        <f>ROUND(E1530,2)</f>
        <v>53</v>
      </c>
    </row>
    <row r="1530" spans="1:6" s="47" customFormat="1" ht="22.8">
      <c r="A1530" s="93"/>
      <c r="B1530" s="99"/>
      <c r="C1530" s="109" t="s">
        <v>2983</v>
      </c>
      <c r="D1530" s="108" t="s">
        <v>2488</v>
      </c>
      <c r="E1530" s="113">
        <v>53</v>
      </c>
      <c r="F1530" s="163"/>
    </row>
    <row r="1531" spans="1:6">
      <c r="A1531" s="43"/>
      <c r="B1531" s="56"/>
      <c r="C1531" s="114"/>
      <c r="D1531" s="115"/>
      <c r="E1531" s="84"/>
    </row>
    <row r="1532" spans="1:6">
      <c r="A1532" s="91" t="s">
        <v>3808</v>
      </c>
      <c r="B1532" s="97" t="s">
        <v>2818</v>
      </c>
      <c r="C1532" s="111" t="s">
        <v>2681</v>
      </c>
      <c r="D1532" s="56" t="s">
        <v>2930</v>
      </c>
      <c r="E1532" s="84">
        <f>ROUND(E1533,2)</f>
        <v>8</v>
      </c>
    </row>
    <row r="1533" spans="1:6" ht="21.6" customHeight="1">
      <c r="A1533" s="93"/>
      <c r="B1533" s="99"/>
      <c r="C1533" s="102" t="s">
        <v>3039</v>
      </c>
      <c r="D1533" s="99" t="s">
        <v>2930</v>
      </c>
      <c r="E1533" s="113">
        <v>8</v>
      </c>
    </row>
    <row r="1534" spans="1:6">
      <c r="A1534" s="43"/>
      <c r="B1534" s="56"/>
      <c r="C1534" s="114"/>
      <c r="D1534" s="115"/>
      <c r="E1534" s="84"/>
    </row>
    <row r="1535" spans="1:6" ht="26.4">
      <c r="A1535" s="91" t="s">
        <v>3809</v>
      </c>
      <c r="B1535" s="56" t="s">
        <v>2564</v>
      </c>
      <c r="C1535" s="111" t="s">
        <v>3922</v>
      </c>
      <c r="D1535" s="115" t="s">
        <v>2487</v>
      </c>
      <c r="E1535" s="84">
        <f>ROUND(SUM(E1536:E1537),2)</f>
        <v>305.11</v>
      </c>
      <c r="F1535" s="166"/>
    </row>
    <row r="1536" spans="1:6" s="47" customFormat="1" ht="22.8">
      <c r="A1536" s="93"/>
      <c r="B1536" s="99"/>
      <c r="C1536" s="109" t="s">
        <v>3000</v>
      </c>
      <c r="D1536" s="108" t="s">
        <v>2487</v>
      </c>
      <c r="E1536" s="113">
        <v>152.81</v>
      </c>
      <c r="F1536" s="163"/>
    </row>
    <row r="1537" spans="1:6" s="47" customFormat="1" ht="22.8">
      <c r="A1537" s="93"/>
      <c r="B1537" s="99"/>
      <c r="C1537" s="109" t="s">
        <v>2999</v>
      </c>
      <c r="D1537" s="108" t="s">
        <v>2487</v>
      </c>
      <c r="E1537" s="113">
        <v>152.30000000000001</v>
      </c>
      <c r="F1537" s="163"/>
    </row>
    <row r="1538" spans="1:6">
      <c r="A1538" s="43"/>
      <c r="B1538" s="56"/>
      <c r="C1538" s="114"/>
      <c r="D1538" s="115"/>
      <c r="E1538" s="84"/>
    </row>
    <row r="1539" spans="1:6" ht="26.4">
      <c r="A1539" s="91" t="s">
        <v>3810</v>
      </c>
      <c r="B1539" s="56" t="s">
        <v>2571</v>
      </c>
      <c r="C1539" s="114" t="s">
        <v>2572</v>
      </c>
      <c r="D1539" s="56" t="s">
        <v>2930</v>
      </c>
      <c r="E1539" s="84">
        <f>ROUND(SUM(E1540:E1541),2)</f>
        <v>218</v>
      </c>
      <c r="F1539" s="166"/>
    </row>
    <row r="1540" spans="1:6" s="47" customFormat="1" ht="22.8">
      <c r="A1540" s="93"/>
      <c r="B1540" s="99"/>
      <c r="C1540" s="109" t="s">
        <v>3001</v>
      </c>
      <c r="D1540" s="108" t="s">
        <v>2488</v>
      </c>
      <c r="E1540" s="113">
        <v>107</v>
      </c>
      <c r="F1540" s="163"/>
    </row>
    <row r="1541" spans="1:6" s="47" customFormat="1" ht="12">
      <c r="A1541" s="93"/>
      <c r="B1541" s="99"/>
      <c r="C1541" s="109" t="s">
        <v>2927</v>
      </c>
      <c r="D1541" s="108" t="s">
        <v>2488</v>
      </c>
      <c r="E1541" s="113">
        <v>111</v>
      </c>
      <c r="F1541" s="163"/>
    </row>
    <row r="1542" spans="1:6">
      <c r="A1542" s="43"/>
      <c r="B1542" s="56"/>
      <c r="C1542" s="114"/>
      <c r="D1542" s="115"/>
      <c r="E1542" s="84"/>
    </row>
    <row r="1543" spans="1:6" ht="26.4">
      <c r="A1543" s="91" t="s">
        <v>3811</v>
      </c>
      <c r="B1543" s="56" t="s">
        <v>2578</v>
      </c>
      <c r="C1543" s="111" t="s">
        <v>2577</v>
      </c>
      <c r="D1543" s="56" t="s">
        <v>2930</v>
      </c>
      <c r="E1543" s="84">
        <f>ROUND(SUM(E1544:E1545),2)</f>
        <v>4</v>
      </c>
    </row>
    <row r="1544" spans="1:6" s="47" customFormat="1" ht="22.8">
      <c r="A1544" s="93"/>
      <c r="B1544" s="99"/>
      <c r="C1544" s="109" t="s">
        <v>3003</v>
      </c>
      <c r="D1544" s="108" t="s">
        <v>2488</v>
      </c>
      <c r="E1544" s="113">
        <v>2</v>
      </c>
      <c r="F1544" s="163"/>
    </row>
    <row r="1545" spans="1:6" s="47" customFormat="1" ht="22.8">
      <c r="A1545" s="93"/>
      <c r="B1545" s="99"/>
      <c r="C1545" s="109" t="s">
        <v>3002</v>
      </c>
      <c r="D1545" s="108" t="s">
        <v>2488</v>
      </c>
      <c r="E1545" s="113">
        <v>2</v>
      </c>
      <c r="F1545" s="165"/>
    </row>
    <row r="1546" spans="1:6">
      <c r="A1546" s="43"/>
      <c r="B1546" s="56"/>
      <c r="C1546" s="114"/>
      <c r="D1546" s="115"/>
      <c r="E1546" s="84"/>
    </row>
    <row r="1547" spans="1:6" ht="26.4">
      <c r="A1547" s="91" t="s">
        <v>3812</v>
      </c>
      <c r="B1547" s="56" t="s">
        <v>2583</v>
      </c>
      <c r="C1547" s="111" t="s">
        <v>2582</v>
      </c>
      <c r="D1547" s="56" t="s">
        <v>2930</v>
      </c>
      <c r="E1547" s="84">
        <f>ROUND(SUM(E1548:E1549),2)</f>
        <v>214</v>
      </c>
      <c r="F1547" s="166"/>
    </row>
    <row r="1548" spans="1:6" s="47" customFormat="1" ht="12">
      <c r="A1548" s="93"/>
      <c r="B1548" s="99"/>
      <c r="C1548" s="109" t="s">
        <v>2677</v>
      </c>
      <c r="D1548" s="108" t="s">
        <v>2488</v>
      </c>
      <c r="E1548" s="113">
        <v>108</v>
      </c>
      <c r="F1548" s="163"/>
    </row>
    <row r="1549" spans="1:6" s="47" customFormat="1" ht="12">
      <c r="A1549" s="93"/>
      <c r="B1549" s="99"/>
      <c r="C1549" s="109" t="s">
        <v>2928</v>
      </c>
      <c r="D1549" s="108" t="s">
        <v>2488</v>
      </c>
      <c r="E1549" s="113">
        <v>106</v>
      </c>
      <c r="F1549" s="163"/>
    </row>
    <row r="1550" spans="1:6">
      <c r="A1550" s="43"/>
      <c r="B1550" s="56"/>
      <c r="C1550" s="114"/>
      <c r="D1550" s="115"/>
      <c r="E1550" s="84"/>
    </row>
    <row r="1551" spans="1:6">
      <c r="A1551" s="91" t="s">
        <v>3813</v>
      </c>
      <c r="B1551" s="56" t="s">
        <v>2584</v>
      </c>
      <c r="C1551" s="111" t="s">
        <v>3974</v>
      </c>
      <c r="D1551" s="56" t="s">
        <v>2930</v>
      </c>
      <c r="E1551" s="84">
        <f>ROUND(E1552,2)</f>
        <v>208</v>
      </c>
    </row>
    <row r="1552" spans="1:6" s="47" customFormat="1" ht="22.8">
      <c r="A1552" s="93"/>
      <c r="B1552" s="99"/>
      <c r="C1552" s="109" t="s">
        <v>3009</v>
      </c>
      <c r="D1552" s="108" t="s">
        <v>2488</v>
      </c>
      <c r="E1552" s="113">
        <v>208</v>
      </c>
      <c r="F1552" s="163"/>
    </row>
    <row r="1553" spans="1:6">
      <c r="A1553" s="43"/>
      <c r="B1553" s="56"/>
      <c r="C1553" s="114"/>
      <c r="D1553" s="115"/>
      <c r="E1553" s="84"/>
    </row>
    <row r="1554" spans="1:6" ht="52.8">
      <c r="A1554" s="233" t="s">
        <v>3814</v>
      </c>
      <c r="B1554" s="56" t="s">
        <v>2664</v>
      </c>
      <c r="C1554" s="114" t="s">
        <v>2663</v>
      </c>
      <c r="D1554" s="56" t="s">
        <v>2930</v>
      </c>
      <c r="E1554" s="84">
        <f>ROUND(E1555,2)</f>
        <v>1</v>
      </c>
    </row>
    <row r="1555" spans="1:6" s="47" customFormat="1" ht="22.8">
      <c r="A1555" s="93"/>
      <c r="B1555" s="99"/>
      <c r="C1555" s="109" t="s">
        <v>3010</v>
      </c>
      <c r="D1555" s="108" t="s">
        <v>2488</v>
      </c>
      <c r="E1555" s="113">
        <v>1</v>
      </c>
      <c r="F1555" s="163"/>
    </row>
    <row r="1556" spans="1:6">
      <c r="A1556" s="43"/>
      <c r="B1556" s="56"/>
      <c r="C1556" s="114"/>
      <c r="D1556" s="115"/>
      <c r="E1556" s="84"/>
    </row>
    <row r="1557" spans="1:6" ht="26.4">
      <c r="A1557" s="91" t="s">
        <v>3815</v>
      </c>
      <c r="B1557" s="97" t="s">
        <v>2819</v>
      </c>
      <c r="C1557" s="111" t="s">
        <v>2665</v>
      </c>
      <c r="D1557" s="56" t="s">
        <v>2930</v>
      </c>
      <c r="E1557" s="84">
        <f>ROUND(E1558,2)</f>
        <v>5</v>
      </c>
    </row>
    <row r="1558" spans="1:6" s="47" customFormat="1" ht="22.8">
      <c r="A1558" s="93"/>
      <c r="B1558" s="99"/>
      <c r="C1558" s="109" t="s">
        <v>3011</v>
      </c>
      <c r="D1558" s="108" t="s">
        <v>2488</v>
      </c>
      <c r="E1558" s="113">
        <v>5</v>
      </c>
      <c r="F1558" s="163"/>
    </row>
    <row r="1559" spans="1:6">
      <c r="A1559" s="43"/>
      <c r="B1559" s="56"/>
      <c r="C1559" s="114"/>
      <c r="D1559" s="115"/>
      <c r="E1559" s="84"/>
    </row>
    <row r="1560" spans="1:6" ht="26.4">
      <c r="A1560" s="91" t="s">
        <v>3816</v>
      </c>
      <c r="B1560" s="97" t="s">
        <v>2594</v>
      </c>
      <c r="C1560" s="111" t="s">
        <v>2801</v>
      </c>
      <c r="D1560" s="115" t="s">
        <v>2489</v>
      </c>
      <c r="E1560" s="84">
        <f>ROUND(SUM(E1561:E1561),2)</f>
        <v>2</v>
      </c>
    </row>
    <row r="1561" spans="1:6" s="47" customFormat="1" ht="22.8">
      <c r="A1561" s="93"/>
      <c r="B1561" s="99"/>
      <c r="C1561" s="109" t="s">
        <v>3021</v>
      </c>
      <c r="D1561" s="108" t="s">
        <v>2488</v>
      </c>
      <c r="E1561" s="113">
        <v>2</v>
      </c>
      <c r="F1561" s="163"/>
    </row>
    <row r="1562" spans="1:6">
      <c r="A1562" s="25"/>
      <c r="B1562" s="56"/>
      <c r="C1562" s="114"/>
      <c r="D1562" s="115"/>
      <c r="E1562" s="84"/>
    </row>
    <row r="1563" spans="1:6">
      <c r="A1563" s="231" t="s">
        <v>3817</v>
      </c>
      <c r="B1563" s="97" t="s">
        <v>3911</v>
      </c>
      <c r="C1563" s="111" t="s">
        <v>3611</v>
      </c>
      <c r="D1563" s="115" t="s">
        <v>2489</v>
      </c>
      <c r="E1563" s="84">
        <f>ROUND(SUM(E1564),2)</f>
        <v>18</v>
      </c>
    </row>
    <row r="1564" spans="1:6" ht="22.8">
      <c r="A1564" s="25"/>
      <c r="B1564" s="97"/>
      <c r="C1564" s="102" t="s">
        <v>3024</v>
      </c>
      <c r="D1564" s="99" t="s">
        <v>2930</v>
      </c>
      <c r="E1564" s="113">
        <v>18</v>
      </c>
    </row>
    <row r="1565" spans="1:6">
      <c r="A1565" s="25"/>
      <c r="B1565" s="97"/>
      <c r="C1565" s="109"/>
      <c r="D1565" s="108"/>
      <c r="E1565" s="113"/>
    </row>
    <row r="1566" spans="1:6" ht="26.4">
      <c r="A1566" s="231" t="s">
        <v>3818</v>
      </c>
      <c r="B1566" s="97" t="s">
        <v>3382</v>
      </c>
      <c r="C1566" s="111" t="s">
        <v>3383</v>
      </c>
      <c r="D1566" s="115" t="s">
        <v>2489</v>
      </c>
      <c r="E1566" s="84">
        <f>ROUND(SUM(E1567:E1570),2)</f>
        <v>8</v>
      </c>
    </row>
    <row r="1567" spans="1:6">
      <c r="A1567" s="25"/>
      <c r="B1567" s="97"/>
      <c r="C1567" s="109" t="s">
        <v>3384</v>
      </c>
      <c r="D1567" s="99" t="s">
        <v>2930</v>
      </c>
      <c r="E1567" s="113">
        <v>2</v>
      </c>
    </row>
    <row r="1568" spans="1:6">
      <c r="A1568" s="43"/>
      <c r="B1568" s="97"/>
      <c r="C1568" s="109" t="s">
        <v>3385</v>
      </c>
      <c r="D1568" s="99" t="s">
        <v>2930</v>
      </c>
      <c r="E1568" s="113">
        <v>2</v>
      </c>
    </row>
    <row r="1569" spans="1:6">
      <c r="A1569" s="43"/>
      <c r="B1569" s="97"/>
      <c r="C1569" s="109" t="s">
        <v>3386</v>
      </c>
      <c r="D1569" s="99" t="s">
        <v>2930</v>
      </c>
      <c r="E1569" s="113">
        <v>2</v>
      </c>
    </row>
    <row r="1570" spans="1:6">
      <c r="A1570" s="43"/>
      <c r="B1570" s="97"/>
      <c r="C1570" s="109" t="s">
        <v>3387</v>
      </c>
      <c r="D1570" s="99" t="s">
        <v>2930</v>
      </c>
      <c r="E1570" s="113">
        <v>2</v>
      </c>
    </row>
    <row r="1571" spans="1:6">
      <c r="A1571" s="43"/>
      <c r="B1571" s="97"/>
      <c r="C1571" s="109"/>
      <c r="D1571" s="108"/>
      <c r="E1571" s="113"/>
    </row>
    <row r="1572" spans="1:6" s="47" customFormat="1" ht="13.2">
      <c r="A1572" s="32">
        <v>6</v>
      </c>
      <c r="B1572" s="55">
        <v>80000</v>
      </c>
      <c r="C1572" s="29" t="s">
        <v>970</v>
      </c>
      <c r="D1572" s="54" t="s">
        <v>10</v>
      </c>
      <c r="E1572" s="78"/>
      <c r="F1572" s="163"/>
    </row>
    <row r="1573" spans="1:6">
      <c r="A1573" s="234"/>
      <c r="B1573" s="59">
        <v>80500</v>
      </c>
      <c r="C1573" s="36" t="s">
        <v>971</v>
      </c>
      <c r="D1573" s="144"/>
      <c r="E1573" s="79"/>
    </row>
    <row r="1574" spans="1:6">
      <c r="A1574" s="234"/>
      <c r="B1574" s="59">
        <v>80501</v>
      </c>
      <c r="C1574" s="36" t="s">
        <v>972</v>
      </c>
      <c r="D1574" s="144"/>
      <c r="E1574" s="79"/>
    </row>
    <row r="1575" spans="1:6" ht="13.2" hidden="1" customHeight="1">
      <c r="A1575" s="231"/>
      <c r="B1575" s="51">
        <v>80502</v>
      </c>
      <c r="C1575" s="17" t="s">
        <v>973</v>
      </c>
      <c r="D1575" s="51" t="s">
        <v>2930</v>
      </c>
      <c r="E1575" s="77"/>
    </row>
    <row r="1576" spans="1:6" hidden="1">
      <c r="A1576" s="231"/>
      <c r="B1576" s="51">
        <v>80503</v>
      </c>
      <c r="C1576" s="17" t="s">
        <v>974</v>
      </c>
      <c r="D1576" s="51" t="s">
        <v>2930</v>
      </c>
      <c r="E1576" s="77"/>
    </row>
    <row r="1577" spans="1:6" ht="26.4" hidden="1">
      <c r="A1577" s="231"/>
      <c r="B1577" s="51">
        <v>80504</v>
      </c>
      <c r="C1577" s="4" t="s">
        <v>975</v>
      </c>
      <c r="D1577" s="51" t="s">
        <v>2930</v>
      </c>
      <c r="E1577" s="77"/>
    </row>
    <row r="1578" spans="1:6" ht="26.4" hidden="1">
      <c r="A1578" s="231"/>
      <c r="B1578" s="51">
        <v>80505</v>
      </c>
      <c r="C1578" s="17" t="s">
        <v>976</v>
      </c>
      <c r="D1578" s="51" t="s">
        <v>2930</v>
      </c>
      <c r="E1578" s="77"/>
    </row>
    <row r="1579" spans="1:6" hidden="1">
      <c r="A1579" s="231"/>
      <c r="B1579" s="51">
        <v>80508</v>
      </c>
      <c r="C1579" s="17" t="s">
        <v>977</v>
      </c>
      <c r="D1579" s="51" t="s">
        <v>2930</v>
      </c>
      <c r="E1579" s="77"/>
    </row>
    <row r="1580" spans="1:6">
      <c r="A1580" s="91" t="s">
        <v>2822</v>
      </c>
      <c r="B1580" s="56">
        <v>80510</v>
      </c>
      <c r="C1580" s="124" t="s">
        <v>978</v>
      </c>
      <c r="D1580" s="56" t="s">
        <v>2930</v>
      </c>
      <c r="E1580" s="84">
        <f>ROUND((SUM(E1581:E1582)),2)</f>
        <v>20</v>
      </c>
    </row>
    <row r="1581" spans="1:6">
      <c r="A1581" s="91"/>
      <c r="B1581" s="56"/>
      <c r="C1581" s="102" t="s">
        <v>3271</v>
      </c>
      <c r="D1581" s="99" t="s">
        <v>2930</v>
      </c>
      <c r="E1581" s="113">
        <v>8</v>
      </c>
    </row>
    <row r="1582" spans="1:6">
      <c r="A1582" s="91"/>
      <c r="B1582" s="56"/>
      <c r="C1582" s="102" t="s">
        <v>3247</v>
      </c>
      <c r="D1582" s="99" t="s">
        <v>2930</v>
      </c>
      <c r="E1582" s="113">
        <v>12</v>
      </c>
    </row>
    <row r="1583" spans="1:6">
      <c r="A1583" s="231"/>
      <c r="B1583" s="51"/>
      <c r="C1583" s="4"/>
      <c r="D1583" s="51"/>
      <c r="E1583" s="77"/>
    </row>
    <row r="1584" spans="1:6" hidden="1">
      <c r="A1584" s="231"/>
      <c r="B1584" s="51">
        <v>80511</v>
      </c>
      <c r="C1584" s="17" t="s">
        <v>979</v>
      </c>
      <c r="D1584" s="51" t="s">
        <v>2930</v>
      </c>
      <c r="E1584" s="77"/>
    </row>
    <row r="1585" spans="1:5" hidden="1">
      <c r="A1585" s="231"/>
      <c r="B1585" s="51">
        <v>80512</v>
      </c>
      <c r="C1585" s="17" t="s">
        <v>980</v>
      </c>
      <c r="D1585" s="51" t="s">
        <v>2930</v>
      </c>
      <c r="E1585" s="77"/>
    </row>
    <row r="1586" spans="1:5" hidden="1">
      <c r="A1586" s="231"/>
      <c r="B1586" s="51">
        <v>80513</v>
      </c>
      <c r="C1586" s="17" t="s">
        <v>981</v>
      </c>
      <c r="D1586" s="51" t="s">
        <v>2930</v>
      </c>
      <c r="E1586" s="77"/>
    </row>
    <row r="1587" spans="1:5" hidden="1">
      <c r="A1587" s="231"/>
      <c r="B1587" s="51">
        <v>80514</v>
      </c>
      <c r="C1587" s="17" t="s">
        <v>982</v>
      </c>
      <c r="D1587" s="51" t="s">
        <v>2930</v>
      </c>
      <c r="E1587" s="77"/>
    </row>
    <row r="1588" spans="1:5" ht="26.4" hidden="1">
      <c r="A1588" s="231"/>
      <c r="B1588" s="51">
        <v>80515</v>
      </c>
      <c r="C1588" s="17" t="s">
        <v>983</v>
      </c>
      <c r="D1588" s="51" t="s">
        <v>2930</v>
      </c>
      <c r="E1588" s="77"/>
    </row>
    <row r="1589" spans="1:5" ht="26.4" hidden="1">
      <c r="A1589" s="231"/>
      <c r="B1589" s="51">
        <v>80517</v>
      </c>
      <c r="C1589" s="17" t="s">
        <v>984</v>
      </c>
      <c r="D1589" s="51" t="s">
        <v>2930</v>
      </c>
      <c r="E1589" s="77"/>
    </row>
    <row r="1590" spans="1:5" ht="26.4" hidden="1">
      <c r="A1590" s="231"/>
      <c r="B1590" s="51">
        <v>80518</v>
      </c>
      <c r="C1590" s="17" t="s">
        <v>985</v>
      </c>
      <c r="D1590" s="51" t="s">
        <v>2930</v>
      </c>
      <c r="E1590" s="77"/>
    </row>
    <row r="1591" spans="1:5" ht="26.4" hidden="1">
      <c r="A1591" s="231"/>
      <c r="B1591" s="51">
        <v>80519</v>
      </c>
      <c r="C1591" s="17" t="s">
        <v>986</v>
      </c>
      <c r="D1591" s="51" t="s">
        <v>2930</v>
      </c>
      <c r="E1591" s="77"/>
    </row>
    <row r="1592" spans="1:5" hidden="1">
      <c r="A1592" s="231"/>
      <c r="B1592" s="51">
        <v>80520</v>
      </c>
      <c r="C1592" s="17" t="s">
        <v>987</v>
      </c>
      <c r="D1592" s="51" t="s">
        <v>988</v>
      </c>
      <c r="E1592" s="77"/>
    </row>
    <row r="1593" spans="1:5" ht="26.4" hidden="1">
      <c r="A1593" s="231"/>
      <c r="B1593" s="51">
        <v>80526</v>
      </c>
      <c r="C1593" s="17" t="s">
        <v>989</v>
      </c>
      <c r="D1593" s="51" t="s">
        <v>2930</v>
      </c>
      <c r="E1593" s="77"/>
    </row>
    <row r="1594" spans="1:5" hidden="1">
      <c r="A1594" s="231"/>
      <c r="B1594" s="51">
        <v>80530</v>
      </c>
      <c r="C1594" s="17" t="s">
        <v>990</v>
      </c>
      <c r="D1594" s="51" t="s">
        <v>2930</v>
      </c>
      <c r="E1594" s="77"/>
    </row>
    <row r="1595" spans="1:5" hidden="1">
      <c r="A1595" s="231"/>
      <c r="B1595" s="51">
        <v>80532</v>
      </c>
      <c r="C1595" s="17" t="s">
        <v>991</v>
      </c>
      <c r="D1595" s="51" t="s">
        <v>2930</v>
      </c>
      <c r="E1595" s="77"/>
    </row>
    <row r="1596" spans="1:5">
      <c r="A1596" s="91" t="s">
        <v>2823</v>
      </c>
      <c r="B1596" s="56">
        <v>80556</v>
      </c>
      <c r="C1596" s="92" t="s">
        <v>999</v>
      </c>
      <c r="D1596" s="56" t="s">
        <v>2930</v>
      </c>
      <c r="E1596" s="84">
        <f>ROUND((SUM(E1598:E1603)),2)</f>
        <v>36</v>
      </c>
    </row>
    <row r="1597" spans="1:5">
      <c r="A1597" s="91"/>
      <c r="B1597" s="56"/>
      <c r="C1597" s="100" t="s">
        <v>3272</v>
      </c>
      <c r="D1597" s="99"/>
      <c r="E1597" s="113"/>
    </row>
    <row r="1598" spans="1:5">
      <c r="A1598" s="91"/>
      <c r="B1598" s="56"/>
      <c r="C1598" s="102" t="s">
        <v>3271</v>
      </c>
      <c r="D1598" s="99" t="s">
        <v>2930</v>
      </c>
      <c r="E1598" s="113">
        <v>8</v>
      </c>
    </row>
    <row r="1599" spans="1:5">
      <c r="A1599" s="91"/>
      <c r="B1599" s="56"/>
      <c r="C1599" s="102" t="s">
        <v>3247</v>
      </c>
      <c r="D1599" s="99" t="s">
        <v>2930</v>
      </c>
      <c r="E1599" s="113">
        <v>12</v>
      </c>
    </row>
    <row r="1600" spans="1:5">
      <c r="A1600" s="91"/>
      <c r="B1600" s="56"/>
      <c r="C1600" s="102"/>
      <c r="D1600" s="99"/>
      <c r="E1600" s="113"/>
    </row>
    <row r="1601" spans="1:6">
      <c r="A1601" s="91"/>
      <c r="B1601" s="56"/>
      <c r="C1601" s="102" t="s">
        <v>3618</v>
      </c>
      <c r="D1601" s="99"/>
      <c r="E1601" s="113"/>
    </row>
    <row r="1602" spans="1:6">
      <c r="A1602" s="91"/>
      <c r="B1602" s="56"/>
      <c r="C1602" s="102" t="s">
        <v>2702</v>
      </c>
      <c r="D1602" s="99" t="s">
        <v>2930</v>
      </c>
      <c r="E1602" s="113">
        <v>8</v>
      </c>
    </row>
    <row r="1603" spans="1:6">
      <c r="A1603" s="91"/>
      <c r="B1603" s="56"/>
      <c r="C1603" s="102" t="s">
        <v>2703</v>
      </c>
      <c r="D1603" s="99" t="s">
        <v>2930</v>
      </c>
      <c r="E1603" s="113">
        <v>8</v>
      </c>
    </row>
    <row r="1604" spans="1:6" ht="13.2" customHeight="1">
      <c r="A1604" s="231"/>
      <c r="B1604" s="51"/>
      <c r="C1604" s="17"/>
      <c r="D1604" s="51"/>
      <c r="E1604" s="77"/>
    </row>
    <row r="1605" spans="1:6">
      <c r="A1605" s="91" t="s">
        <v>2824</v>
      </c>
      <c r="B1605" s="97" t="s">
        <v>3419</v>
      </c>
      <c r="C1605" s="124" t="s">
        <v>3273</v>
      </c>
      <c r="D1605" s="56" t="s">
        <v>2930</v>
      </c>
      <c r="E1605" s="84">
        <f>ROUND((SUM(E1606:E1607)),2)</f>
        <v>20</v>
      </c>
      <c r="F1605" s="202"/>
    </row>
    <row r="1606" spans="1:6" ht="13.2" customHeight="1">
      <c r="A1606" s="91"/>
      <c r="B1606" s="56"/>
      <c r="C1606" s="102" t="s">
        <v>3271</v>
      </c>
      <c r="D1606" s="99" t="s">
        <v>2930</v>
      </c>
      <c r="E1606" s="113">
        <v>8</v>
      </c>
    </row>
    <row r="1607" spans="1:6" ht="13.2" customHeight="1">
      <c r="A1607" s="91"/>
      <c r="B1607" s="56"/>
      <c r="C1607" s="102" t="s">
        <v>3247</v>
      </c>
      <c r="D1607" s="99" t="s">
        <v>2930</v>
      </c>
      <c r="E1607" s="113">
        <v>12</v>
      </c>
    </row>
    <row r="1608" spans="1:6" ht="13.2" customHeight="1">
      <c r="A1608" s="91"/>
      <c r="B1608" s="56"/>
      <c r="C1608" s="92"/>
      <c r="D1608" s="56"/>
      <c r="E1608" s="84"/>
    </row>
    <row r="1609" spans="1:6" ht="27.6" customHeight="1">
      <c r="A1609" s="91" t="s">
        <v>3636</v>
      </c>
      <c r="B1609" s="97" t="s">
        <v>3420</v>
      </c>
      <c r="C1609" s="124" t="s">
        <v>3291</v>
      </c>
      <c r="D1609" s="56" t="s">
        <v>2930</v>
      </c>
      <c r="E1609" s="84">
        <f>ROUND((SUM(E1610:E1611)),2)</f>
        <v>20</v>
      </c>
      <c r="F1609" s="202"/>
    </row>
    <row r="1610" spans="1:6">
      <c r="A1610" s="91"/>
      <c r="B1610" s="56"/>
      <c r="C1610" s="102" t="s">
        <v>3271</v>
      </c>
      <c r="D1610" s="99" t="s">
        <v>2930</v>
      </c>
      <c r="E1610" s="113">
        <v>8</v>
      </c>
    </row>
    <row r="1611" spans="1:6">
      <c r="A1611" s="91"/>
      <c r="B1611" s="56"/>
      <c r="C1611" s="102" t="s">
        <v>3247</v>
      </c>
      <c r="D1611" s="99" t="s">
        <v>2930</v>
      </c>
      <c r="E1611" s="113">
        <v>12</v>
      </c>
    </row>
    <row r="1612" spans="1:6" ht="13.2" customHeight="1">
      <c r="A1612" s="91"/>
      <c r="B1612" s="56"/>
      <c r="C1612" s="92"/>
      <c r="D1612" s="56"/>
      <c r="E1612" s="84"/>
    </row>
    <row r="1613" spans="1:6">
      <c r="A1613" s="234"/>
      <c r="B1613" s="59">
        <v>80540</v>
      </c>
      <c r="C1613" s="36" t="s">
        <v>992</v>
      </c>
      <c r="D1613" s="144"/>
      <c r="E1613" s="79"/>
    </row>
    <row r="1614" spans="1:6" hidden="1">
      <c r="A1614" s="231"/>
      <c r="B1614" s="51">
        <v>80541</v>
      </c>
      <c r="C1614" s="17" t="s">
        <v>993</v>
      </c>
      <c r="D1614" s="51" t="s">
        <v>2930</v>
      </c>
      <c r="E1614" s="77"/>
    </row>
    <row r="1615" spans="1:6" hidden="1">
      <c r="A1615" s="231"/>
      <c r="B1615" s="51">
        <v>80542</v>
      </c>
      <c r="C1615" s="17" t="s">
        <v>994</v>
      </c>
      <c r="D1615" s="51" t="s">
        <v>2930</v>
      </c>
      <c r="E1615" s="77"/>
    </row>
    <row r="1616" spans="1:6" hidden="1">
      <c r="A1616" s="231"/>
      <c r="B1616" s="51">
        <v>80543</v>
      </c>
      <c r="C1616" s="17" t="s">
        <v>995</v>
      </c>
      <c r="D1616" s="51" t="s">
        <v>2930</v>
      </c>
      <c r="E1616" s="77"/>
    </row>
    <row r="1617" spans="1:6" hidden="1">
      <c r="A1617" s="231"/>
      <c r="B1617" s="51">
        <v>80550</v>
      </c>
      <c r="C1617" s="17" t="s">
        <v>996</v>
      </c>
      <c r="D1617" s="51" t="s">
        <v>997</v>
      </c>
      <c r="E1617" s="77"/>
    </row>
    <row r="1618" spans="1:6" hidden="1">
      <c r="A1618" s="231"/>
      <c r="B1618" s="51">
        <v>80555</v>
      </c>
      <c r="C1618" s="17" t="s">
        <v>998</v>
      </c>
      <c r="D1618" s="51" t="s">
        <v>2930</v>
      </c>
      <c r="E1618" s="77"/>
    </row>
    <row r="1619" spans="1:6" s="246" customFormat="1" hidden="1">
      <c r="A1619" s="91"/>
      <c r="B1619" s="136">
        <v>80556</v>
      </c>
      <c r="C1619" s="137" t="s">
        <v>999</v>
      </c>
      <c r="D1619" s="136" t="s">
        <v>2930</v>
      </c>
      <c r="E1619" s="138"/>
      <c r="F1619" s="154"/>
    </row>
    <row r="1620" spans="1:6" s="246" customFormat="1" hidden="1">
      <c r="A1620" s="93"/>
      <c r="B1620" s="127"/>
      <c r="C1620" s="121"/>
      <c r="D1620" s="127"/>
      <c r="E1620" s="139"/>
      <c r="F1620" s="154"/>
    </row>
    <row r="1621" spans="1:6" s="246" customFormat="1" hidden="1">
      <c r="A1621" s="93"/>
      <c r="B1621" s="127"/>
      <c r="C1621" s="121"/>
      <c r="D1621" s="127"/>
      <c r="E1621" s="139"/>
      <c r="F1621" s="154"/>
    </row>
    <row r="1622" spans="1:6" s="246" customFormat="1" hidden="1">
      <c r="A1622" s="231"/>
      <c r="B1622" s="247"/>
      <c r="C1622" s="248"/>
      <c r="D1622" s="247"/>
      <c r="E1622" s="249"/>
      <c r="F1622" s="154"/>
    </row>
    <row r="1623" spans="1:6" hidden="1">
      <c r="A1623" s="231"/>
      <c r="B1623" s="51">
        <v>80560</v>
      </c>
      <c r="C1623" s="17" t="s">
        <v>1000</v>
      </c>
      <c r="D1623" s="51" t="s">
        <v>2930</v>
      </c>
      <c r="E1623" s="77"/>
    </row>
    <row r="1624" spans="1:6" hidden="1">
      <c r="A1624" s="91"/>
      <c r="B1624" s="56">
        <v>80561</v>
      </c>
      <c r="C1624" s="92" t="s">
        <v>1001</v>
      </c>
      <c r="D1624" s="56" t="s">
        <v>2930</v>
      </c>
      <c r="E1624" s="84"/>
    </row>
    <row r="1625" spans="1:6" ht="26.4">
      <c r="A1625" s="91" t="s">
        <v>3819</v>
      </c>
      <c r="B1625" s="56">
        <v>80562</v>
      </c>
      <c r="C1625" s="92" t="s">
        <v>1002</v>
      </c>
      <c r="D1625" s="56" t="s">
        <v>2930</v>
      </c>
      <c r="E1625" s="84">
        <f>ROUND(SUM(E1626:E1628),2)</f>
        <v>17</v>
      </c>
    </row>
    <row r="1626" spans="1:6">
      <c r="A1626" s="93"/>
      <c r="B1626" s="99"/>
      <c r="C1626" s="102" t="s">
        <v>2702</v>
      </c>
      <c r="D1626" s="99" t="s">
        <v>2930</v>
      </c>
      <c r="E1626" s="113">
        <v>8</v>
      </c>
    </row>
    <row r="1627" spans="1:6">
      <c r="A1627" s="93"/>
      <c r="B1627" s="99"/>
      <c r="C1627" s="102" t="s">
        <v>2703</v>
      </c>
      <c r="D1627" s="99" t="s">
        <v>2930</v>
      </c>
      <c r="E1627" s="113">
        <v>8</v>
      </c>
    </row>
    <row r="1628" spans="1:6">
      <c r="A1628" s="93"/>
      <c r="B1628" s="99"/>
      <c r="C1628" s="102" t="s">
        <v>2524</v>
      </c>
      <c r="D1628" s="99" t="s">
        <v>2930</v>
      </c>
      <c r="E1628" s="113">
        <v>1</v>
      </c>
    </row>
    <row r="1629" spans="1:6">
      <c r="A1629" s="91"/>
      <c r="B1629" s="56"/>
      <c r="C1629" s="92"/>
      <c r="D1629" s="56"/>
      <c r="E1629" s="84"/>
    </row>
    <row r="1630" spans="1:6" hidden="1">
      <c r="A1630" s="91"/>
      <c r="B1630" s="56">
        <v>80563</v>
      </c>
      <c r="C1630" s="92" t="s">
        <v>1003</v>
      </c>
      <c r="D1630" s="56" t="s">
        <v>2930</v>
      </c>
      <c r="E1630" s="84"/>
    </row>
    <row r="1631" spans="1:6" ht="26.4" hidden="1">
      <c r="A1631" s="231"/>
      <c r="B1631" s="51">
        <v>80564</v>
      </c>
      <c r="C1631" s="17" t="s">
        <v>1004</v>
      </c>
      <c r="D1631" s="51" t="s">
        <v>2930</v>
      </c>
      <c r="E1631" s="77"/>
    </row>
    <row r="1632" spans="1:6" hidden="1">
      <c r="A1632" s="231"/>
      <c r="B1632" s="51">
        <v>80570</v>
      </c>
      <c r="C1632" s="17" t="s">
        <v>1005</v>
      </c>
      <c r="D1632" s="51" t="s">
        <v>2930</v>
      </c>
      <c r="E1632" s="77"/>
    </row>
    <row r="1633" spans="1:5" ht="26.4">
      <c r="A1633" s="91" t="s">
        <v>3820</v>
      </c>
      <c r="B1633" s="56">
        <v>80572</v>
      </c>
      <c r="C1633" s="92" t="s">
        <v>1006</v>
      </c>
      <c r="D1633" s="56" t="s">
        <v>2930</v>
      </c>
      <c r="E1633" s="84">
        <f>ROUND((SUM(E1634:E1635)),2)</f>
        <v>16</v>
      </c>
    </row>
    <row r="1634" spans="1:5">
      <c r="A1634" s="91"/>
      <c r="B1634" s="56"/>
      <c r="C1634" s="102" t="s">
        <v>2702</v>
      </c>
      <c r="D1634" s="99" t="s">
        <v>2930</v>
      </c>
      <c r="E1634" s="113">
        <v>8</v>
      </c>
    </row>
    <row r="1635" spans="1:5">
      <c r="A1635" s="91"/>
      <c r="B1635" s="56"/>
      <c r="C1635" s="102" t="s">
        <v>2703</v>
      </c>
      <c r="D1635" s="99" t="s">
        <v>2930</v>
      </c>
      <c r="E1635" s="113">
        <v>8</v>
      </c>
    </row>
    <row r="1636" spans="1:5">
      <c r="A1636" s="91"/>
      <c r="B1636" s="56"/>
      <c r="C1636" s="92"/>
      <c r="D1636" s="56"/>
      <c r="E1636" s="84"/>
    </row>
    <row r="1637" spans="1:5" ht="26.4" hidden="1">
      <c r="A1637" s="91"/>
      <c r="B1637" s="56">
        <v>80573</v>
      </c>
      <c r="C1637" s="92" t="s">
        <v>1007</v>
      </c>
      <c r="D1637" s="56" t="s">
        <v>2930</v>
      </c>
      <c r="E1637" s="84"/>
    </row>
    <row r="1638" spans="1:5" ht="26.4">
      <c r="A1638" s="91" t="s">
        <v>3821</v>
      </c>
      <c r="B1638" s="56">
        <v>80580</v>
      </c>
      <c r="C1638" s="92" t="s">
        <v>1008</v>
      </c>
      <c r="D1638" s="56" t="s">
        <v>2930</v>
      </c>
      <c r="E1638" s="84">
        <f>ROUND(SUM(E1639:E1641),2)</f>
        <v>17</v>
      </c>
    </row>
    <row r="1639" spans="1:5">
      <c r="A1639" s="93"/>
      <c r="B1639" s="99"/>
      <c r="C1639" s="102" t="s">
        <v>2702</v>
      </c>
      <c r="D1639" s="99" t="s">
        <v>2930</v>
      </c>
      <c r="E1639" s="113">
        <v>8</v>
      </c>
    </row>
    <row r="1640" spans="1:5">
      <c r="A1640" s="93"/>
      <c r="B1640" s="99"/>
      <c r="C1640" s="102" t="s">
        <v>2703</v>
      </c>
      <c r="D1640" s="99" t="s">
        <v>2930</v>
      </c>
      <c r="E1640" s="113">
        <v>8</v>
      </c>
    </row>
    <row r="1641" spans="1:5">
      <c r="A1641" s="93"/>
      <c r="B1641" s="99"/>
      <c r="C1641" s="102" t="s">
        <v>2524</v>
      </c>
      <c r="D1641" s="99" t="s">
        <v>2930</v>
      </c>
      <c r="E1641" s="113">
        <v>1</v>
      </c>
    </row>
    <row r="1642" spans="1:5">
      <c r="A1642" s="231"/>
      <c r="B1642" s="51"/>
      <c r="C1642" s="17"/>
      <c r="D1642" s="51"/>
      <c r="E1642" s="77"/>
    </row>
    <row r="1643" spans="1:5" hidden="1">
      <c r="A1643" s="231"/>
      <c r="B1643" s="51">
        <v>80587</v>
      </c>
      <c r="C1643" s="17" t="s">
        <v>1009</v>
      </c>
      <c r="D1643" s="51" t="s">
        <v>2930</v>
      </c>
      <c r="E1643" s="77"/>
    </row>
    <row r="1644" spans="1:5" hidden="1">
      <c r="A1644" s="231"/>
      <c r="B1644" s="51">
        <v>80590</v>
      </c>
      <c r="C1644" s="17" t="s">
        <v>1010</v>
      </c>
      <c r="D1644" s="51" t="s">
        <v>2930</v>
      </c>
      <c r="E1644" s="77"/>
    </row>
    <row r="1645" spans="1:5">
      <c r="A1645" s="234"/>
      <c r="B1645" s="59">
        <v>80600</v>
      </c>
      <c r="C1645" s="38" t="s">
        <v>1011</v>
      </c>
      <c r="D1645" s="145"/>
      <c r="E1645" s="79"/>
    </row>
    <row r="1646" spans="1:5" hidden="1">
      <c r="A1646" s="231"/>
      <c r="B1646" s="51">
        <v>80601</v>
      </c>
      <c r="C1646" s="17" t="s">
        <v>1012</v>
      </c>
      <c r="D1646" s="51" t="s">
        <v>2930</v>
      </c>
      <c r="E1646" s="77"/>
    </row>
    <row r="1647" spans="1:5" ht="26.4" hidden="1">
      <c r="A1647" s="231"/>
      <c r="B1647" s="51">
        <v>80610</v>
      </c>
      <c r="C1647" s="17" t="s">
        <v>1013</v>
      </c>
      <c r="D1647" s="51" t="s">
        <v>2930</v>
      </c>
      <c r="E1647" s="77"/>
    </row>
    <row r="1648" spans="1:5" hidden="1">
      <c r="A1648" s="231"/>
      <c r="B1648" s="51">
        <v>80613</v>
      </c>
      <c r="C1648" s="17" t="s">
        <v>1014</v>
      </c>
      <c r="D1648" s="51" t="s">
        <v>2930</v>
      </c>
      <c r="E1648" s="77"/>
    </row>
    <row r="1649" spans="1:6" hidden="1">
      <c r="A1649" s="231"/>
      <c r="B1649" s="51">
        <v>80620</v>
      </c>
      <c r="C1649" s="17" t="s">
        <v>1015</v>
      </c>
      <c r="D1649" s="51" t="s">
        <v>2930</v>
      </c>
      <c r="E1649" s="77"/>
    </row>
    <row r="1650" spans="1:6" ht="26.4">
      <c r="A1650" s="91" t="s">
        <v>3822</v>
      </c>
      <c r="B1650" s="56">
        <v>80621</v>
      </c>
      <c r="C1650" s="92" t="s">
        <v>1016</v>
      </c>
      <c r="D1650" s="56" t="s">
        <v>2930</v>
      </c>
      <c r="E1650" s="84">
        <f>ROUND((SUM(E1651)),2)</f>
        <v>8</v>
      </c>
      <c r="F1650" s="203"/>
    </row>
    <row r="1651" spans="1:6">
      <c r="A1651" s="91"/>
      <c r="B1651" s="56"/>
      <c r="C1651" s="111" t="s">
        <v>3271</v>
      </c>
      <c r="D1651" s="99" t="s">
        <v>2930</v>
      </c>
      <c r="E1651" s="113">
        <v>8</v>
      </c>
    </row>
    <row r="1652" spans="1:6">
      <c r="A1652" s="91"/>
      <c r="B1652" s="56"/>
      <c r="C1652" s="111"/>
      <c r="D1652" s="108"/>
      <c r="E1652" s="113"/>
    </row>
    <row r="1653" spans="1:6">
      <c r="A1653" s="234"/>
      <c r="B1653" s="59">
        <v>80650</v>
      </c>
      <c r="C1653" s="38" t="s">
        <v>1017</v>
      </c>
      <c r="D1653" s="145"/>
      <c r="E1653" s="79"/>
    </row>
    <row r="1654" spans="1:6" hidden="1">
      <c r="A1654" s="231"/>
      <c r="B1654" s="51">
        <v>80651</v>
      </c>
      <c r="C1654" s="17" t="s">
        <v>1018</v>
      </c>
      <c r="D1654" s="51" t="s">
        <v>2930</v>
      </c>
      <c r="E1654" s="77"/>
    </row>
    <row r="1655" spans="1:6" hidden="1">
      <c r="A1655" s="231"/>
      <c r="B1655" s="51">
        <v>80652</v>
      </c>
      <c r="C1655" s="17" t="s">
        <v>1019</v>
      </c>
      <c r="D1655" s="51" t="s">
        <v>2930</v>
      </c>
      <c r="E1655" s="77"/>
    </row>
    <row r="1656" spans="1:6" hidden="1">
      <c r="A1656" s="231"/>
      <c r="B1656" s="51">
        <v>80656</v>
      </c>
      <c r="C1656" s="17" t="s">
        <v>1020</v>
      </c>
      <c r="D1656" s="51" t="s">
        <v>2930</v>
      </c>
      <c r="E1656" s="77"/>
    </row>
    <row r="1657" spans="1:6" ht="26.4" hidden="1">
      <c r="A1657" s="231"/>
      <c r="B1657" s="51">
        <v>80660</v>
      </c>
      <c r="C1657" s="17" t="s">
        <v>1021</v>
      </c>
      <c r="D1657" s="51" t="s">
        <v>2930</v>
      </c>
      <c r="E1657" s="77"/>
    </row>
    <row r="1658" spans="1:6" hidden="1">
      <c r="A1658" s="231"/>
      <c r="B1658" s="51">
        <v>80670</v>
      </c>
      <c r="C1658" s="17" t="s">
        <v>1022</v>
      </c>
      <c r="D1658" s="51" t="s">
        <v>2930</v>
      </c>
      <c r="E1658" s="77"/>
    </row>
    <row r="1659" spans="1:6" s="47" customFormat="1" ht="13.2" hidden="1">
      <c r="A1659" s="231"/>
      <c r="B1659" s="51">
        <v>80671</v>
      </c>
      <c r="C1659" s="17" t="s">
        <v>1023</v>
      </c>
      <c r="D1659" s="51" t="s">
        <v>2930</v>
      </c>
      <c r="E1659" s="77"/>
      <c r="F1659" s="163"/>
    </row>
    <row r="1660" spans="1:6" hidden="1">
      <c r="A1660" s="231"/>
      <c r="B1660" s="51">
        <v>80672</v>
      </c>
      <c r="C1660" s="17" t="s">
        <v>1024</v>
      </c>
      <c r="D1660" s="51" t="s">
        <v>2930</v>
      </c>
      <c r="E1660" s="77"/>
    </row>
    <row r="1661" spans="1:6" hidden="1">
      <c r="A1661" s="231"/>
      <c r="B1661" s="51">
        <v>80680</v>
      </c>
      <c r="C1661" s="17" t="s">
        <v>1025</v>
      </c>
      <c r="D1661" s="51" t="s">
        <v>2930</v>
      </c>
      <c r="E1661" s="77"/>
    </row>
    <row r="1662" spans="1:6" hidden="1">
      <c r="A1662" s="231"/>
      <c r="B1662" s="51">
        <v>80686</v>
      </c>
      <c r="C1662" s="17" t="s">
        <v>1026</v>
      </c>
      <c r="D1662" s="51" t="s">
        <v>2930</v>
      </c>
      <c r="E1662" s="77"/>
    </row>
    <row r="1663" spans="1:6" hidden="1">
      <c r="A1663" s="231"/>
      <c r="B1663" s="51">
        <v>80687</v>
      </c>
      <c r="C1663" s="17" t="s">
        <v>1027</v>
      </c>
      <c r="D1663" s="51" t="s">
        <v>2930</v>
      </c>
      <c r="E1663" s="77"/>
    </row>
    <row r="1664" spans="1:6" hidden="1">
      <c r="A1664" s="231"/>
      <c r="B1664" s="51">
        <v>80688</v>
      </c>
      <c r="C1664" s="17" t="s">
        <v>1028</v>
      </c>
      <c r="D1664" s="51" t="s">
        <v>2930</v>
      </c>
      <c r="E1664" s="77"/>
    </row>
    <row r="1665" spans="1:6" hidden="1">
      <c r="A1665" s="231"/>
      <c r="B1665" s="51">
        <v>80689</v>
      </c>
      <c r="C1665" s="17" t="s">
        <v>1029</v>
      </c>
      <c r="D1665" s="51" t="s">
        <v>2930</v>
      </c>
      <c r="E1665" s="77"/>
    </row>
    <row r="1666" spans="1:6" s="47" customFormat="1" ht="13.2" hidden="1">
      <c r="A1666" s="231"/>
      <c r="B1666" s="51">
        <v>80693</v>
      </c>
      <c r="C1666" s="17" t="s">
        <v>1030</v>
      </c>
      <c r="D1666" s="51" t="s">
        <v>2930</v>
      </c>
      <c r="E1666" s="77"/>
      <c r="F1666" s="163"/>
    </row>
    <row r="1667" spans="1:6">
      <c r="A1667" s="234"/>
      <c r="B1667" s="59">
        <v>80720</v>
      </c>
      <c r="C1667" s="38" t="s">
        <v>1031</v>
      </c>
      <c r="D1667" s="145"/>
      <c r="E1667" s="79"/>
    </row>
    <row r="1668" spans="1:6" hidden="1">
      <c r="A1668" s="231"/>
      <c r="B1668" s="51">
        <v>80721</v>
      </c>
      <c r="C1668" s="17" t="s">
        <v>1032</v>
      </c>
      <c r="D1668" s="51" t="s">
        <v>2930</v>
      </c>
      <c r="E1668" s="77"/>
    </row>
    <row r="1669" spans="1:6" hidden="1">
      <c r="A1669" s="231"/>
      <c r="B1669" s="51">
        <v>80723</v>
      </c>
      <c r="C1669" s="17" t="s">
        <v>1033</v>
      </c>
      <c r="D1669" s="51" t="s">
        <v>2930</v>
      </c>
      <c r="E1669" s="77"/>
    </row>
    <row r="1670" spans="1:6" hidden="1">
      <c r="A1670" s="231"/>
      <c r="B1670" s="51">
        <v>80725</v>
      </c>
      <c r="C1670" s="17" t="s">
        <v>1034</v>
      </c>
      <c r="D1670" s="51" t="s">
        <v>2930</v>
      </c>
      <c r="E1670" s="77"/>
    </row>
    <row r="1671" spans="1:6" hidden="1">
      <c r="A1671" s="231"/>
      <c r="B1671" s="51">
        <v>80730</v>
      </c>
      <c r="C1671" s="17" t="s">
        <v>1035</v>
      </c>
      <c r="D1671" s="51" t="s">
        <v>2930</v>
      </c>
      <c r="E1671" s="77"/>
    </row>
    <row r="1672" spans="1:6" hidden="1">
      <c r="A1672" s="231"/>
      <c r="B1672" s="51">
        <v>80732</v>
      </c>
      <c r="C1672" s="17" t="s">
        <v>1036</v>
      </c>
      <c r="D1672" s="51" t="s">
        <v>2930</v>
      </c>
      <c r="E1672" s="77"/>
    </row>
    <row r="1673" spans="1:6" hidden="1">
      <c r="A1673" s="231"/>
      <c r="B1673" s="51">
        <v>80733</v>
      </c>
      <c r="C1673" s="17" t="s">
        <v>1037</v>
      </c>
      <c r="D1673" s="51" t="s">
        <v>2930</v>
      </c>
      <c r="E1673" s="77"/>
    </row>
    <row r="1674" spans="1:6" hidden="1">
      <c r="A1674" s="231"/>
      <c r="B1674" s="51">
        <v>80740</v>
      </c>
      <c r="C1674" s="17" t="s">
        <v>1038</v>
      </c>
      <c r="D1674" s="51" t="s">
        <v>2930</v>
      </c>
      <c r="E1674" s="77"/>
    </row>
    <row r="1675" spans="1:6" hidden="1">
      <c r="A1675" s="231"/>
      <c r="B1675" s="51">
        <v>80741</v>
      </c>
      <c r="C1675" s="17" t="s">
        <v>1039</v>
      </c>
      <c r="D1675" s="51" t="s">
        <v>2930</v>
      </c>
      <c r="E1675" s="77"/>
    </row>
    <row r="1676" spans="1:6" hidden="1">
      <c r="A1676" s="231"/>
      <c r="B1676" s="51">
        <v>80752</v>
      </c>
      <c r="C1676" s="17" t="s">
        <v>1040</v>
      </c>
      <c r="D1676" s="51" t="s">
        <v>2930</v>
      </c>
      <c r="E1676" s="77"/>
    </row>
    <row r="1677" spans="1:6">
      <c r="A1677" s="234"/>
      <c r="B1677" s="59">
        <v>80800</v>
      </c>
      <c r="C1677" s="38" t="s">
        <v>1041</v>
      </c>
      <c r="D1677" s="145"/>
      <c r="E1677" s="79"/>
    </row>
    <row r="1678" spans="1:6" hidden="1">
      <c r="A1678" s="231"/>
      <c r="B1678" s="51">
        <v>80801</v>
      </c>
      <c r="C1678" s="17" t="s">
        <v>1042</v>
      </c>
      <c r="D1678" s="51" t="s">
        <v>2930</v>
      </c>
      <c r="E1678" s="77"/>
    </row>
    <row r="1679" spans="1:6" ht="26.4" hidden="1">
      <c r="A1679" s="231"/>
      <c r="B1679" s="51">
        <v>80802</v>
      </c>
      <c r="C1679" s="17" t="s">
        <v>1043</v>
      </c>
      <c r="D1679" s="51" t="s">
        <v>2930</v>
      </c>
      <c r="E1679" s="77"/>
    </row>
    <row r="1680" spans="1:6" hidden="1">
      <c r="A1680" s="231"/>
      <c r="B1680" s="51">
        <v>80803</v>
      </c>
      <c r="C1680" s="17" t="s">
        <v>1044</v>
      </c>
      <c r="D1680" s="51" t="s">
        <v>2930</v>
      </c>
      <c r="E1680" s="77"/>
    </row>
    <row r="1681" spans="1:5" hidden="1">
      <c r="A1681" s="231"/>
      <c r="B1681" s="51">
        <v>80804</v>
      </c>
      <c r="C1681" s="17" t="s">
        <v>1045</v>
      </c>
      <c r="D1681" s="51" t="s">
        <v>2930</v>
      </c>
      <c r="E1681" s="77"/>
    </row>
    <row r="1682" spans="1:5" hidden="1">
      <c r="A1682" s="231"/>
      <c r="B1682" s="51">
        <v>80805</v>
      </c>
      <c r="C1682" s="17" t="s">
        <v>1046</v>
      </c>
      <c r="D1682" s="51" t="s">
        <v>2930</v>
      </c>
      <c r="E1682" s="77"/>
    </row>
    <row r="1683" spans="1:5" ht="26.4">
      <c r="A1683" s="91" t="s">
        <v>3823</v>
      </c>
      <c r="B1683" s="56">
        <v>80810</v>
      </c>
      <c r="C1683" s="92" t="s">
        <v>1047</v>
      </c>
      <c r="D1683" s="56" t="s">
        <v>2930</v>
      </c>
      <c r="E1683" s="84">
        <f>ROUND((SUM(E1684)),2)</f>
        <v>1</v>
      </c>
    </row>
    <row r="1684" spans="1:5">
      <c r="A1684" s="91"/>
      <c r="B1684" s="56"/>
      <c r="C1684" s="102" t="s">
        <v>2524</v>
      </c>
      <c r="D1684" s="99" t="s">
        <v>2930</v>
      </c>
      <c r="E1684" s="113">
        <v>1</v>
      </c>
    </row>
    <row r="1685" spans="1:5">
      <c r="A1685" s="231"/>
      <c r="B1685" s="51"/>
      <c r="C1685" s="159"/>
      <c r="D1685" s="160"/>
      <c r="E1685" s="161"/>
    </row>
    <row r="1686" spans="1:5" ht="26.4">
      <c r="A1686" s="91" t="s">
        <v>3824</v>
      </c>
      <c r="B1686" s="56">
        <v>80811</v>
      </c>
      <c r="C1686" s="92" t="s">
        <v>1048</v>
      </c>
      <c r="D1686" s="56" t="s">
        <v>2930</v>
      </c>
      <c r="E1686" s="84">
        <f>ROUND((SUM(E1687:E1689)),2)</f>
        <v>3</v>
      </c>
    </row>
    <row r="1687" spans="1:5">
      <c r="A1687" s="91"/>
      <c r="B1687" s="56"/>
      <c r="C1687" s="124" t="s">
        <v>3257</v>
      </c>
      <c r="D1687" s="99" t="s">
        <v>2930</v>
      </c>
      <c r="E1687" s="113">
        <v>1</v>
      </c>
    </row>
    <row r="1688" spans="1:5">
      <c r="A1688" s="91"/>
      <c r="B1688" s="56"/>
      <c r="C1688" s="124" t="s">
        <v>3258</v>
      </c>
      <c r="D1688" s="99" t="s">
        <v>2930</v>
      </c>
      <c r="E1688" s="113">
        <v>1</v>
      </c>
    </row>
    <row r="1689" spans="1:5">
      <c r="A1689" s="91"/>
      <c r="B1689" s="56"/>
      <c r="C1689" s="124" t="s">
        <v>3259</v>
      </c>
      <c r="D1689" s="99" t="s">
        <v>2930</v>
      </c>
      <c r="E1689" s="113">
        <v>1</v>
      </c>
    </row>
    <row r="1690" spans="1:5">
      <c r="A1690" s="91"/>
      <c r="B1690" s="51"/>
      <c r="C1690" s="17"/>
      <c r="D1690" s="51"/>
      <c r="E1690" s="77"/>
    </row>
    <row r="1691" spans="1:5" hidden="1">
      <c r="A1691" s="91"/>
      <c r="B1691" s="51">
        <v>80819</v>
      </c>
      <c r="C1691" s="17" t="s">
        <v>1049</v>
      </c>
      <c r="D1691" s="51" t="s">
        <v>2930</v>
      </c>
      <c r="E1691" s="77"/>
    </row>
    <row r="1692" spans="1:5" hidden="1">
      <c r="A1692" s="91"/>
      <c r="B1692" s="51">
        <v>80820</v>
      </c>
      <c r="C1692" s="17" t="s">
        <v>1050</v>
      </c>
      <c r="D1692" s="51" t="s">
        <v>2930</v>
      </c>
      <c r="E1692" s="77"/>
    </row>
    <row r="1693" spans="1:5" hidden="1">
      <c r="A1693" s="91"/>
      <c r="B1693" s="51">
        <v>80821</v>
      </c>
      <c r="C1693" s="17" t="s">
        <v>1051</v>
      </c>
      <c r="D1693" s="51" t="s">
        <v>2930</v>
      </c>
      <c r="E1693" s="77"/>
    </row>
    <row r="1694" spans="1:5" hidden="1">
      <c r="A1694" s="91"/>
      <c r="B1694" s="51">
        <v>80830</v>
      </c>
      <c r="C1694" s="17" t="s">
        <v>1052</v>
      </c>
      <c r="D1694" s="51" t="s">
        <v>2930</v>
      </c>
      <c r="E1694" s="77"/>
    </row>
    <row r="1695" spans="1:5" hidden="1">
      <c r="A1695" s="91"/>
      <c r="B1695" s="51">
        <v>80840</v>
      </c>
      <c r="C1695" s="17" t="s">
        <v>1053</v>
      </c>
      <c r="D1695" s="51" t="s">
        <v>2930</v>
      </c>
      <c r="E1695" s="77"/>
    </row>
    <row r="1696" spans="1:5" ht="39.6" hidden="1">
      <c r="A1696" s="91"/>
      <c r="B1696" s="51">
        <v>80845</v>
      </c>
      <c r="C1696" s="17" t="s">
        <v>1054</v>
      </c>
      <c r="D1696" s="51" t="s">
        <v>2930</v>
      </c>
      <c r="E1696" s="77"/>
    </row>
    <row r="1697" spans="1:5">
      <c r="A1697" s="234"/>
      <c r="B1697" s="59">
        <v>80900</v>
      </c>
      <c r="C1697" s="38" t="s">
        <v>1055</v>
      </c>
      <c r="D1697" s="145"/>
      <c r="E1697" s="79"/>
    </row>
    <row r="1698" spans="1:5" hidden="1">
      <c r="A1698" s="231"/>
      <c r="B1698" s="51">
        <v>80901</v>
      </c>
      <c r="C1698" s="17" t="s">
        <v>1056</v>
      </c>
      <c r="D1698" s="51" t="s">
        <v>2930</v>
      </c>
      <c r="E1698" s="77"/>
    </row>
    <row r="1699" spans="1:5" hidden="1">
      <c r="A1699" s="231"/>
      <c r="B1699" s="51">
        <v>80902</v>
      </c>
      <c r="C1699" s="17" t="s">
        <v>1057</v>
      </c>
      <c r="D1699" s="51" t="s">
        <v>2930</v>
      </c>
      <c r="E1699" s="77"/>
    </row>
    <row r="1700" spans="1:5" hidden="1">
      <c r="A1700" s="231"/>
      <c r="B1700" s="51">
        <v>80903</v>
      </c>
      <c r="C1700" s="17" t="s">
        <v>1058</v>
      </c>
      <c r="D1700" s="51" t="s">
        <v>2930</v>
      </c>
      <c r="E1700" s="77"/>
    </row>
    <row r="1701" spans="1:5" hidden="1">
      <c r="A1701" s="91"/>
      <c r="B1701" s="51">
        <v>80904</v>
      </c>
      <c r="C1701" s="17" t="s">
        <v>1059</v>
      </c>
      <c r="D1701" s="51" t="s">
        <v>2930</v>
      </c>
      <c r="E1701" s="77"/>
    </row>
    <row r="1702" spans="1:5" hidden="1">
      <c r="A1702" s="231"/>
      <c r="B1702" s="51">
        <v>80905</v>
      </c>
      <c r="C1702" s="17" t="s">
        <v>1060</v>
      </c>
      <c r="D1702" s="51" t="s">
        <v>2930</v>
      </c>
      <c r="E1702" s="77"/>
    </row>
    <row r="1703" spans="1:5" hidden="1">
      <c r="A1703" s="231"/>
      <c r="B1703" s="51">
        <v>80906</v>
      </c>
      <c r="C1703" s="17" t="s">
        <v>1061</v>
      </c>
      <c r="D1703" s="51" t="s">
        <v>2930</v>
      </c>
      <c r="E1703" s="77"/>
    </row>
    <row r="1704" spans="1:5" hidden="1">
      <c r="A1704" s="231"/>
      <c r="B1704" s="51">
        <v>80910</v>
      </c>
      <c r="C1704" s="17" t="s">
        <v>1062</v>
      </c>
      <c r="D1704" s="51" t="s">
        <v>2930</v>
      </c>
      <c r="E1704" s="77"/>
    </row>
    <row r="1705" spans="1:5" hidden="1">
      <c r="A1705" s="231"/>
      <c r="B1705" s="51">
        <v>80911</v>
      </c>
      <c r="C1705" s="17" t="s">
        <v>1063</v>
      </c>
      <c r="D1705" s="51" t="s">
        <v>2930</v>
      </c>
      <c r="E1705" s="77"/>
    </row>
    <row r="1706" spans="1:5" hidden="1">
      <c r="A1706" s="231"/>
      <c r="B1706" s="51">
        <v>80912</v>
      </c>
      <c r="C1706" s="17" t="s">
        <v>1064</v>
      </c>
      <c r="D1706" s="51" t="s">
        <v>2930</v>
      </c>
      <c r="E1706" s="77"/>
    </row>
    <row r="1707" spans="1:5" hidden="1">
      <c r="A1707" s="231"/>
      <c r="B1707" s="51">
        <v>80925</v>
      </c>
      <c r="C1707" s="17" t="s">
        <v>1065</v>
      </c>
      <c r="D1707" s="51" t="s">
        <v>2930</v>
      </c>
      <c r="E1707" s="77"/>
    </row>
    <row r="1708" spans="1:5" hidden="1">
      <c r="A1708" s="231"/>
      <c r="B1708" s="51">
        <v>80926</v>
      </c>
      <c r="C1708" s="17" t="s">
        <v>1066</v>
      </c>
      <c r="D1708" s="51" t="s">
        <v>2930</v>
      </c>
      <c r="E1708" s="77"/>
    </row>
    <row r="1709" spans="1:5" hidden="1">
      <c r="A1709" s="231"/>
      <c r="B1709" s="51">
        <v>80927</v>
      </c>
      <c r="C1709" s="17" t="s">
        <v>1067</v>
      </c>
      <c r="D1709" s="51" t="s">
        <v>2930</v>
      </c>
      <c r="E1709" s="77"/>
    </row>
    <row r="1710" spans="1:5" hidden="1">
      <c r="A1710" s="231"/>
      <c r="B1710" s="51">
        <v>80928</v>
      </c>
      <c r="C1710" s="17" t="s">
        <v>1068</v>
      </c>
      <c r="D1710" s="51" t="s">
        <v>2930</v>
      </c>
      <c r="E1710" s="77"/>
    </row>
    <row r="1711" spans="1:5" hidden="1">
      <c r="A1711" s="231"/>
      <c r="B1711" s="51">
        <v>80929</v>
      </c>
      <c r="C1711" s="17" t="s">
        <v>1069</v>
      </c>
      <c r="D1711" s="51" t="s">
        <v>2930</v>
      </c>
      <c r="E1711" s="77"/>
    </row>
    <row r="1712" spans="1:5" hidden="1">
      <c r="A1712" s="231"/>
      <c r="B1712" s="51">
        <v>80945</v>
      </c>
      <c r="C1712" s="17" t="s">
        <v>1070</v>
      </c>
      <c r="D1712" s="51" t="s">
        <v>2930</v>
      </c>
      <c r="E1712" s="77"/>
    </row>
    <row r="1713" spans="1:5" hidden="1">
      <c r="A1713" s="231"/>
      <c r="B1713" s="51">
        <v>80946</v>
      </c>
      <c r="C1713" s="17" t="s">
        <v>1071</v>
      </c>
      <c r="D1713" s="51" t="s">
        <v>2930</v>
      </c>
      <c r="E1713" s="77"/>
    </row>
    <row r="1714" spans="1:5" hidden="1">
      <c r="A1714" s="231"/>
      <c r="B1714" s="51">
        <v>80975</v>
      </c>
      <c r="C1714" s="17" t="s">
        <v>1072</v>
      </c>
      <c r="D1714" s="51" t="s">
        <v>2930</v>
      </c>
      <c r="E1714" s="77"/>
    </row>
    <row r="1715" spans="1:5" hidden="1">
      <c r="A1715" s="231"/>
      <c r="B1715" s="51">
        <v>80976</v>
      </c>
      <c r="C1715" s="4" t="s">
        <v>1073</v>
      </c>
      <c r="D1715" s="51" t="s">
        <v>2930</v>
      </c>
      <c r="E1715" s="77"/>
    </row>
    <row r="1716" spans="1:5" hidden="1">
      <c r="A1716" s="91"/>
      <c r="B1716" s="51">
        <v>80977</v>
      </c>
      <c r="C1716" s="17" t="s">
        <v>1074</v>
      </c>
      <c r="D1716" s="51" t="s">
        <v>2930</v>
      </c>
      <c r="E1716" s="77"/>
    </row>
    <row r="1717" spans="1:5" hidden="1">
      <c r="A1717" s="231"/>
      <c r="B1717" s="51">
        <v>80978</v>
      </c>
      <c r="C1717" s="17" t="s">
        <v>1075</v>
      </c>
      <c r="D1717" s="51" t="s">
        <v>2930</v>
      </c>
      <c r="E1717" s="77"/>
    </row>
    <row r="1718" spans="1:5" hidden="1">
      <c r="A1718" s="231"/>
      <c r="B1718" s="51">
        <v>80979</v>
      </c>
      <c r="C1718" s="17" t="s">
        <v>1076</v>
      </c>
      <c r="D1718" s="51" t="s">
        <v>2930</v>
      </c>
      <c r="E1718" s="77"/>
    </row>
    <row r="1719" spans="1:5" hidden="1">
      <c r="A1719" s="231"/>
      <c r="B1719" s="51">
        <v>80980</v>
      </c>
      <c r="C1719" s="17" t="s">
        <v>1077</v>
      </c>
      <c r="D1719" s="51" t="s">
        <v>2930</v>
      </c>
      <c r="E1719" s="77"/>
    </row>
    <row r="1720" spans="1:5" hidden="1">
      <c r="A1720" s="231"/>
      <c r="B1720" s="51">
        <v>80981</v>
      </c>
      <c r="C1720" s="17" t="s">
        <v>1078</v>
      </c>
      <c r="D1720" s="51" t="s">
        <v>2930</v>
      </c>
      <c r="E1720" s="77"/>
    </row>
    <row r="1721" spans="1:5" hidden="1">
      <c r="A1721" s="231"/>
      <c r="B1721" s="51">
        <v>80982</v>
      </c>
      <c r="C1721" s="17" t="s">
        <v>1079</v>
      </c>
      <c r="D1721" s="51" t="s">
        <v>2930</v>
      </c>
      <c r="E1721" s="77"/>
    </row>
    <row r="1722" spans="1:5" hidden="1">
      <c r="A1722" s="231"/>
      <c r="B1722" s="51">
        <v>80983</v>
      </c>
      <c r="C1722" s="17" t="s">
        <v>1080</v>
      </c>
      <c r="D1722" s="51" t="s">
        <v>2930</v>
      </c>
      <c r="E1722" s="77"/>
    </row>
    <row r="1723" spans="1:5">
      <c r="A1723" s="234"/>
      <c r="B1723" s="59">
        <v>81000</v>
      </c>
      <c r="C1723" s="38" t="s">
        <v>1081</v>
      </c>
      <c r="D1723" s="145"/>
      <c r="E1723" s="79"/>
    </row>
    <row r="1724" spans="1:5">
      <c r="A1724" s="234"/>
      <c r="B1724" s="59">
        <v>81001</v>
      </c>
      <c r="C1724" s="36" t="s">
        <v>1082</v>
      </c>
      <c r="D1724" s="144"/>
      <c r="E1724" s="79"/>
    </row>
    <row r="1725" spans="1:5" hidden="1">
      <c r="A1725" s="231"/>
      <c r="B1725" s="51">
        <v>81002</v>
      </c>
      <c r="C1725" s="17" t="s">
        <v>1083</v>
      </c>
      <c r="D1725" s="51" t="s">
        <v>39</v>
      </c>
      <c r="E1725" s="77"/>
    </row>
    <row r="1726" spans="1:5">
      <c r="A1726" s="91" t="s">
        <v>3825</v>
      </c>
      <c r="B1726" s="56">
        <v>81003</v>
      </c>
      <c r="C1726" s="92" t="s">
        <v>1084</v>
      </c>
      <c r="D1726" s="56" t="s">
        <v>39</v>
      </c>
      <c r="E1726" s="84">
        <f>ROUND(E1728+E1729,2)</f>
        <v>2</v>
      </c>
    </row>
    <row r="1727" spans="1:5" ht="22.8">
      <c r="A1727" s="91"/>
      <c r="B1727" s="56"/>
      <c r="C1727" s="100" t="s">
        <v>2753</v>
      </c>
      <c r="D1727" s="99"/>
      <c r="E1727" s="101"/>
    </row>
    <row r="1728" spans="1:5" ht="22.8">
      <c r="A1728" s="91"/>
      <c r="B1728" s="56"/>
      <c r="C1728" s="102" t="s">
        <v>2754</v>
      </c>
      <c r="D1728" s="99" t="s">
        <v>2114</v>
      </c>
      <c r="E1728" s="101">
        <v>1</v>
      </c>
    </row>
    <row r="1729" spans="1:6" ht="22.8">
      <c r="A1729" s="91"/>
      <c r="B1729" s="56"/>
      <c r="C1729" s="102" t="s">
        <v>3397</v>
      </c>
      <c r="D1729" s="99" t="s">
        <v>2114</v>
      </c>
      <c r="E1729" s="113">
        <v>1</v>
      </c>
    </row>
    <row r="1730" spans="1:6">
      <c r="A1730" s="91"/>
      <c r="B1730" s="56"/>
      <c r="C1730" s="92"/>
      <c r="D1730" s="56"/>
      <c r="E1730" s="84"/>
    </row>
    <row r="1731" spans="1:6" hidden="1">
      <c r="A1731" s="91"/>
      <c r="B1731" s="56">
        <v>81004</v>
      </c>
      <c r="C1731" s="92" t="s">
        <v>1085</v>
      </c>
      <c r="D1731" s="56" t="s">
        <v>39</v>
      </c>
      <c r="E1731" s="84"/>
    </row>
    <row r="1732" spans="1:6" hidden="1">
      <c r="A1732" s="91"/>
      <c r="B1732" s="56">
        <v>81005</v>
      </c>
      <c r="C1732" s="92" t="s">
        <v>1086</v>
      </c>
      <c r="D1732" s="56" t="s">
        <v>39</v>
      </c>
      <c r="E1732" s="84"/>
    </row>
    <row r="1733" spans="1:6" s="47" customFormat="1" ht="13.2" hidden="1">
      <c r="A1733" s="231"/>
      <c r="B1733" s="51">
        <v>81006</v>
      </c>
      <c r="C1733" s="17" t="s">
        <v>1087</v>
      </c>
      <c r="D1733" s="51" t="s">
        <v>39</v>
      </c>
      <c r="E1733" s="77"/>
      <c r="F1733" s="163"/>
    </row>
    <row r="1734" spans="1:6" hidden="1">
      <c r="A1734" s="231"/>
      <c r="B1734" s="51">
        <v>81007</v>
      </c>
      <c r="C1734" s="17" t="s">
        <v>1088</v>
      </c>
      <c r="D1734" s="51" t="s">
        <v>39</v>
      </c>
      <c r="E1734" s="77"/>
    </row>
    <row r="1735" spans="1:6" hidden="1">
      <c r="A1735" s="231"/>
      <c r="B1735" s="51">
        <v>81008</v>
      </c>
      <c r="C1735" s="17" t="s">
        <v>1089</v>
      </c>
      <c r="D1735" s="51" t="s">
        <v>39</v>
      </c>
      <c r="E1735" s="77"/>
    </row>
    <row r="1736" spans="1:6" hidden="1">
      <c r="A1736" s="231"/>
      <c r="B1736" s="51">
        <v>81009</v>
      </c>
      <c r="C1736" s="17" t="s">
        <v>1090</v>
      </c>
      <c r="D1736" s="51" t="s">
        <v>39</v>
      </c>
      <c r="E1736" s="77"/>
    </row>
    <row r="1737" spans="1:6" hidden="1">
      <c r="A1737" s="231"/>
      <c r="B1737" s="51">
        <v>81010</v>
      </c>
      <c r="C1737" s="17" t="s">
        <v>1091</v>
      </c>
      <c r="D1737" s="51" t="s">
        <v>39</v>
      </c>
      <c r="E1737" s="77"/>
    </row>
    <row r="1738" spans="1:6">
      <c r="A1738" s="234"/>
      <c r="B1738" s="59">
        <v>81040</v>
      </c>
      <c r="C1738" s="38" t="s">
        <v>1092</v>
      </c>
      <c r="D1738" s="145"/>
      <c r="E1738" s="79"/>
    </row>
    <row r="1739" spans="1:6" ht="26.4" hidden="1">
      <c r="A1739" s="231"/>
      <c r="B1739" s="51">
        <v>81041</v>
      </c>
      <c r="C1739" s="17" t="s">
        <v>1093</v>
      </c>
      <c r="D1739" s="51" t="s">
        <v>2930</v>
      </c>
      <c r="E1739" s="77"/>
    </row>
    <row r="1740" spans="1:6" ht="26.4" hidden="1">
      <c r="A1740" s="231"/>
      <c r="B1740" s="51">
        <v>81042</v>
      </c>
      <c r="C1740" s="17" t="s">
        <v>1094</v>
      </c>
      <c r="D1740" s="51" t="s">
        <v>2930</v>
      </c>
      <c r="E1740" s="80"/>
    </row>
    <row r="1741" spans="1:6" ht="26.4" hidden="1">
      <c r="A1741" s="231"/>
      <c r="B1741" s="51">
        <v>81043</v>
      </c>
      <c r="C1741" s="17" t="s">
        <v>1095</v>
      </c>
      <c r="D1741" s="51" t="s">
        <v>2930</v>
      </c>
      <c r="E1741" s="77"/>
    </row>
    <row r="1742" spans="1:6" ht="26.4" hidden="1">
      <c r="A1742" s="231"/>
      <c r="B1742" s="51">
        <v>81044</v>
      </c>
      <c r="C1742" s="17" t="s">
        <v>1096</v>
      </c>
      <c r="D1742" s="51" t="s">
        <v>2930</v>
      </c>
      <c r="E1742" s="77"/>
    </row>
    <row r="1743" spans="1:6" ht="26.4" hidden="1">
      <c r="A1743" s="231"/>
      <c r="B1743" s="51">
        <v>81046</v>
      </c>
      <c r="C1743" s="17" t="s">
        <v>1097</v>
      </c>
      <c r="D1743" s="51" t="s">
        <v>2930</v>
      </c>
      <c r="E1743" s="77"/>
    </row>
    <row r="1744" spans="1:6" ht="26.4" hidden="1">
      <c r="A1744" s="231"/>
      <c r="B1744" s="51">
        <v>81055</v>
      </c>
      <c r="C1744" s="17" t="s">
        <v>1098</v>
      </c>
      <c r="D1744" s="51" t="s">
        <v>2930</v>
      </c>
      <c r="E1744" s="77"/>
    </row>
    <row r="1745" spans="1:5" ht="26.4" hidden="1">
      <c r="A1745" s="231"/>
      <c r="B1745" s="51">
        <v>81056</v>
      </c>
      <c r="C1745" s="17" t="s">
        <v>1099</v>
      </c>
      <c r="D1745" s="51" t="s">
        <v>2930</v>
      </c>
      <c r="E1745" s="77"/>
    </row>
    <row r="1746" spans="1:5" ht="26.4" hidden="1">
      <c r="A1746" s="231"/>
      <c r="B1746" s="51">
        <v>81057</v>
      </c>
      <c r="C1746" s="17" t="s">
        <v>1100</v>
      </c>
      <c r="D1746" s="51" t="s">
        <v>2930</v>
      </c>
      <c r="E1746" s="77"/>
    </row>
    <row r="1747" spans="1:5" ht="26.4" hidden="1">
      <c r="A1747" s="231"/>
      <c r="B1747" s="51">
        <v>81058</v>
      </c>
      <c r="C1747" s="17" t="s">
        <v>1101</v>
      </c>
      <c r="D1747" s="51" t="s">
        <v>2930</v>
      </c>
      <c r="E1747" s="77"/>
    </row>
    <row r="1748" spans="1:5" ht="26.4" hidden="1">
      <c r="A1748" s="231"/>
      <c r="B1748" s="51">
        <v>81065</v>
      </c>
      <c r="C1748" s="17" t="s">
        <v>1102</v>
      </c>
      <c r="D1748" s="51" t="s">
        <v>2930</v>
      </c>
      <c r="E1748" s="77"/>
    </row>
    <row r="1749" spans="1:5" hidden="1">
      <c r="A1749" s="231"/>
      <c r="B1749" s="51">
        <v>81066</v>
      </c>
      <c r="C1749" s="17" t="s">
        <v>1103</v>
      </c>
      <c r="D1749" s="51" t="s">
        <v>2930</v>
      </c>
      <c r="E1749" s="77"/>
    </row>
    <row r="1750" spans="1:5" hidden="1">
      <c r="A1750" s="231"/>
      <c r="B1750" s="51">
        <v>81067</v>
      </c>
      <c r="C1750" s="17" t="s">
        <v>1104</v>
      </c>
      <c r="D1750" s="51" t="s">
        <v>2930</v>
      </c>
      <c r="E1750" s="77"/>
    </row>
    <row r="1751" spans="1:5" hidden="1">
      <c r="A1751" s="231"/>
      <c r="B1751" s="51">
        <v>81068</v>
      </c>
      <c r="C1751" s="17" t="s">
        <v>1105</v>
      </c>
      <c r="D1751" s="51" t="s">
        <v>2930</v>
      </c>
      <c r="E1751" s="77"/>
    </row>
    <row r="1752" spans="1:5" ht="26.4" hidden="1">
      <c r="A1752" s="231"/>
      <c r="B1752" s="51">
        <v>81069</v>
      </c>
      <c r="C1752" s="17" t="s">
        <v>1106</v>
      </c>
      <c r="D1752" s="51" t="s">
        <v>2930</v>
      </c>
      <c r="E1752" s="77"/>
    </row>
    <row r="1753" spans="1:5" hidden="1">
      <c r="A1753" s="231"/>
      <c r="B1753" s="51">
        <v>81070</v>
      </c>
      <c r="C1753" s="17" t="s">
        <v>1107</v>
      </c>
      <c r="D1753" s="51" t="s">
        <v>2930</v>
      </c>
      <c r="E1753" s="77"/>
    </row>
    <row r="1754" spans="1:5" hidden="1">
      <c r="A1754" s="231"/>
      <c r="B1754" s="51">
        <v>81071</v>
      </c>
      <c r="C1754" s="17" t="s">
        <v>1108</v>
      </c>
      <c r="D1754" s="51" t="s">
        <v>2930</v>
      </c>
      <c r="E1754" s="77"/>
    </row>
    <row r="1755" spans="1:5" ht="26.4" hidden="1">
      <c r="A1755" s="231"/>
      <c r="B1755" s="51">
        <v>81072</v>
      </c>
      <c r="C1755" s="17" t="s">
        <v>1109</v>
      </c>
      <c r="D1755" s="51" t="s">
        <v>2930</v>
      </c>
      <c r="E1755" s="77"/>
    </row>
    <row r="1756" spans="1:5" ht="26.4" hidden="1">
      <c r="A1756" s="231"/>
      <c r="B1756" s="51">
        <v>81073</v>
      </c>
      <c r="C1756" s="17" t="s">
        <v>1110</v>
      </c>
      <c r="D1756" s="51" t="s">
        <v>2930</v>
      </c>
      <c r="E1756" s="77"/>
    </row>
    <row r="1757" spans="1:5" ht="26.4" hidden="1">
      <c r="A1757" s="231"/>
      <c r="B1757" s="51">
        <v>81083</v>
      </c>
      <c r="C1757" s="17" t="s">
        <v>1111</v>
      </c>
      <c r="D1757" s="51" t="s">
        <v>2930</v>
      </c>
      <c r="E1757" s="77"/>
    </row>
    <row r="1758" spans="1:5" hidden="1">
      <c r="A1758" s="231"/>
      <c r="B1758" s="51">
        <v>81084</v>
      </c>
      <c r="C1758" s="17" t="s">
        <v>1112</v>
      </c>
      <c r="D1758" s="51" t="s">
        <v>2930</v>
      </c>
      <c r="E1758" s="77"/>
    </row>
    <row r="1759" spans="1:5" hidden="1">
      <c r="A1759" s="231"/>
      <c r="B1759" s="51">
        <v>81085</v>
      </c>
      <c r="C1759" s="27" t="s">
        <v>1113</v>
      </c>
      <c r="D1759" s="51" t="s">
        <v>2930</v>
      </c>
      <c r="E1759" s="77"/>
    </row>
    <row r="1760" spans="1:5">
      <c r="A1760" s="234"/>
      <c r="B1760" s="59">
        <v>81100</v>
      </c>
      <c r="C1760" s="38" t="s">
        <v>1114</v>
      </c>
      <c r="D1760" s="145"/>
      <c r="E1760" s="79"/>
    </row>
    <row r="1761" spans="1:5" hidden="1">
      <c r="A1761" s="231"/>
      <c r="B1761" s="51">
        <v>81101</v>
      </c>
      <c r="C1761" s="17" t="s">
        <v>1115</v>
      </c>
      <c r="D1761" s="51" t="s">
        <v>2930</v>
      </c>
      <c r="E1761" s="77"/>
    </row>
    <row r="1762" spans="1:5">
      <c r="A1762" s="91" t="s">
        <v>3826</v>
      </c>
      <c r="B1762" s="56">
        <v>81102</v>
      </c>
      <c r="C1762" s="92" t="s">
        <v>1116</v>
      </c>
      <c r="D1762" s="56" t="s">
        <v>2930</v>
      </c>
      <c r="E1762" s="84">
        <f>ROUND(E1764+E1765,2)</f>
        <v>4</v>
      </c>
    </row>
    <row r="1763" spans="1:5" ht="22.8">
      <c r="A1763" s="91"/>
      <c r="B1763" s="56"/>
      <c r="C1763" s="100" t="s">
        <v>2753</v>
      </c>
      <c r="D1763" s="99"/>
      <c r="E1763" s="101"/>
    </row>
    <row r="1764" spans="1:5" ht="22.8">
      <c r="A1764" s="91"/>
      <c r="B1764" s="56"/>
      <c r="C1764" s="102" t="s">
        <v>2755</v>
      </c>
      <c r="D1764" s="99" t="s">
        <v>2930</v>
      </c>
      <c r="E1764" s="101">
        <v>2</v>
      </c>
    </row>
    <row r="1765" spans="1:5" ht="22.8">
      <c r="A1765" s="91"/>
      <c r="B1765" s="56"/>
      <c r="C1765" s="102" t="s">
        <v>3421</v>
      </c>
      <c r="D1765" s="99" t="s">
        <v>2930</v>
      </c>
      <c r="E1765" s="113">
        <v>2</v>
      </c>
    </row>
    <row r="1766" spans="1:5">
      <c r="A1766" s="91"/>
      <c r="B1766" s="56"/>
      <c r="C1766" s="92"/>
      <c r="D1766" s="56"/>
      <c r="E1766" s="84"/>
    </row>
    <row r="1767" spans="1:5" hidden="1">
      <c r="A1767" s="91"/>
      <c r="B1767" s="56">
        <v>81103</v>
      </c>
      <c r="C1767" s="92" t="s">
        <v>1117</v>
      </c>
      <c r="D1767" s="56" t="s">
        <v>2930</v>
      </c>
      <c r="E1767" s="84"/>
    </row>
    <row r="1768" spans="1:5" hidden="1">
      <c r="A1768" s="91"/>
      <c r="B1768" s="56">
        <v>81104</v>
      </c>
      <c r="C1768" s="92" t="s">
        <v>1118</v>
      </c>
      <c r="D1768" s="56" t="s">
        <v>2930</v>
      </c>
      <c r="E1768" s="84"/>
    </row>
    <row r="1769" spans="1:5" hidden="1">
      <c r="A1769" s="91"/>
      <c r="B1769" s="56">
        <v>81105</v>
      </c>
      <c r="C1769" s="92" t="s">
        <v>1119</v>
      </c>
      <c r="D1769" s="56" t="s">
        <v>2930</v>
      </c>
      <c r="E1769" s="84"/>
    </row>
    <row r="1770" spans="1:5" hidden="1">
      <c r="A1770" s="91"/>
      <c r="B1770" s="56">
        <v>81106</v>
      </c>
      <c r="C1770" s="92" t="s">
        <v>1120</v>
      </c>
      <c r="D1770" s="56" t="s">
        <v>2930</v>
      </c>
      <c r="E1770" s="84"/>
    </row>
    <row r="1771" spans="1:5" hidden="1">
      <c r="A1771" s="231"/>
      <c r="B1771" s="51">
        <v>81107</v>
      </c>
      <c r="C1771" s="17" t="s">
        <v>1121</v>
      </c>
      <c r="D1771" s="51" t="s">
        <v>2930</v>
      </c>
      <c r="E1771" s="77"/>
    </row>
    <row r="1772" spans="1:5" hidden="1">
      <c r="A1772" s="231"/>
      <c r="B1772" s="51">
        <v>81108</v>
      </c>
      <c r="C1772" s="17" t="s">
        <v>1122</v>
      </c>
      <c r="D1772" s="51" t="s">
        <v>2930</v>
      </c>
      <c r="E1772" s="77"/>
    </row>
    <row r="1773" spans="1:5" hidden="1">
      <c r="A1773" s="231"/>
      <c r="B1773" s="51">
        <v>81109</v>
      </c>
      <c r="C1773" s="17" t="s">
        <v>1123</v>
      </c>
      <c r="D1773" s="51" t="s">
        <v>2930</v>
      </c>
      <c r="E1773" s="77"/>
    </row>
    <row r="1774" spans="1:5" hidden="1">
      <c r="A1774" s="231"/>
      <c r="B1774" s="51">
        <v>81120</v>
      </c>
      <c r="C1774" s="17" t="s">
        <v>1124</v>
      </c>
      <c r="D1774" s="51" t="s">
        <v>2930</v>
      </c>
      <c r="E1774" s="77"/>
    </row>
    <row r="1775" spans="1:5" hidden="1">
      <c r="A1775" s="231"/>
      <c r="B1775" s="51">
        <v>81121</v>
      </c>
      <c r="C1775" s="17" t="s">
        <v>1125</v>
      </c>
      <c r="D1775" s="51" t="s">
        <v>2930</v>
      </c>
      <c r="E1775" s="77"/>
    </row>
    <row r="1776" spans="1:5" hidden="1">
      <c r="A1776" s="231"/>
      <c r="B1776" s="51">
        <v>81122</v>
      </c>
      <c r="C1776" s="17" t="s">
        <v>1126</v>
      </c>
      <c r="D1776" s="51" t="s">
        <v>2930</v>
      </c>
      <c r="E1776" s="77"/>
    </row>
    <row r="1777" spans="1:5" hidden="1">
      <c r="A1777" s="231"/>
      <c r="B1777" s="51">
        <v>81130</v>
      </c>
      <c r="C1777" s="17" t="s">
        <v>1127</v>
      </c>
      <c r="D1777" s="51" t="s">
        <v>2930</v>
      </c>
      <c r="E1777" s="77"/>
    </row>
    <row r="1778" spans="1:5" hidden="1">
      <c r="A1778" s="91"/>
      <c r="B1778" s="51">
        <v>81131</v>
      </c>
      <c r="C1778" s="17" t="s">
        <v>1128</v>
      </c>
      <c r="D1778" s="51" t="s">
        <v>2930</v>
      </c>
      <c r="E1778" s="77"/>
    </row>
    <row r="1779" spans="1:5" hidden="1">
      <c r="A1779" s="231"/>
      <c r="B1779" s="51">
        <v>81132</v>
      </c>
      <c r="C1779" s="17" t="s">
        <v>1129</v>
      </c>
      <c r="D1779" s="51" t="s">
        <v>2930</v>
      </c>
      <c r="E1779" s="77"/>
    </row>
    <row r="1780" spans="1:5" hidden="1">
      <c r="A1780" s="231"/>
      <c r="B1780" s="51">
        <v>81133</v>
      </c>
      <c r="C1780" s="17" t="s">
        <v>1130</v>
      </c>
      <c r="D1780" s="51" t="s">
        <v>2930</v>
      </c>
      <c r="E1780" s="77"/>
    </row>
    <row r="1781" spans="1:5" hidden="1">
      <c r="A1781" s="231"/>
      <c r="B1781" s="51">
        <v>81134</v>
      </c>
      <c r="C1781" s="17" t="s">
        <v>1131</v>
      </c>
      <c r="D1781" s="51" t="s">
        <v>2930</v>
      </c>
      <c r="E1781" s="77"/>
    </row>
    <row r="1782" spans="1:5" ht="26.4" hidden="1">
      <c r="A1782" s="231"/>
      <c r="B1782" s="51">
        <v>81144</v>
      </c>
      <c r="C1782" s="17" t="s">
        <v>1132</v>
      </c>
      <c r="D1782" s="51" t="s">
        <v>2930</v>
      </c>
      <c r="E1782" s="77"/>
    </row>
    <row r="1783" spans="1:5" hidden="1">
      <c r="A1783" s="231"/>
      <c r="B1783" s="51">
        <v>81145</v>
      </c>
      <c r="C1783" s="17" t="s">
        <v>1133</v>
      </c>
      <c r="D1783" s="51" t="s">
        <v>2930</v>
      </c>
      <c r="E1783" s="77"/>
    </row>
    <row r="1784" spans="1:5" ht="26.4" hidden="1">
      <c r="A1784" s="231"/>
      <c r="B1784" s="51">
        <v>81146</v>
      </c>
      <c r="C1784" s="17" t="s">
        <v>1134</v>
      </c>
      <c r="D1784" s="51" t="s">
        <v>2930</v>
      </c>
      <c r="E1784" s="77"/>
    </row>
    <row r="1785" spans="1:5">
      <c r="A1785" s="234"/>
      <c r="B1785" s="59">
        <v>81160</v>
      </c>
      <c r="C1785" s="38" t="s">
        <v>1135</v>
      </c>
      <c r="D1785" s="145"/>
      <c r="E1785" s="79"/>
    </row>
    <row r="1786" spans="1:5" hidden="1">
      <c r="A1786" s="231"/>
      <c r="B1786" s="51">
        <v>81161</v>
      </c>
      <c r="C1786" s="17" t="s">
        <v>1136</v>
      </c>
      <c r="D1786" s="51" t="s">
        <v>2930</v>
      </c>
      <c r="E1786" s="73"/>
    </row>
    <row r="1787" spans="1:5" hidden="1">
      <c r="A1787" s="231"/>
      <c r="B1787" s="51">
        <v>81162</v>
      </c>
      <c r="C1787" s="17" t="s">
        <v>1137</v>
      </c>
      <c r="D1787" s="51" t="s">
        <v>2930</v>
      </c>
      <c r="E1787" s="73"/>
    </row>
    <row r="1788" spans="1:5" hidden="1">
      <c r="A1788" s="231"/>
      <c r="B1788" s="51">
        <v>81163</v>
      </c>
      <c r="C1788" s="17" t="s">
        <v>1138</v>
      </c>
      <c r="D1788" s="51" t="s">
        <v>2930</v>
      </c>
      <c r="E1788" s="73"/>
    </row>
    <row r="1789" spans="1:5" hidden="1">
      <c r="A1789" s="231"/>
      <c r="B1789" s="51">
        <v>81164</v>
      </c>
      <c r="C1789" s="17" t="s">
        <v>1139</v>
      </c>
      <c r="D1789" s="51" t="s">
        <v>2930</v>
      </c>
      <c r="E1789" s="73"/>
    </row>
    <row r="1790" spans="1:5" hidden="1">
      <c r="A1790" s="231"/>
      <c r="B1790" s="51">
        <v>81165</v>
      </c>
      <c r="C1790" s="17" t="s">
        <v>1140</v>
      </c>
      <c r="D1790" s="51" t="s">
        <v>2930</v>
      </c>
      <c r="E1790" s="73"/>
    </row>
    <row r="1791" spans="1:5" hidden="1">
      <c r="A1791" s="231"/>
      <c r="B1791" s="51">
        <v>81166</v>
      </c>
      <c r="C1791" s="17" t="s">
        <v>1141</v>
      </c>
      <c r="D1791" s="51" t="s">
        <v>2930</v>
      </c>
      <c r="E1791" s="73"/>
    </row>
    <row r="1792" spans="1:5" hidden="1">
      <c r="A1792" s="231"/>
      <c r="B1792" s="51">
        <v>81167</v>
      </c>
      <c r="C1792" s="17" t="s">
        <v>1142</v>
      </c>
      <c r="D1792" s="51" t="s">
        <v>2930</v>
      </c>
      <c r="E1792" s="73"/>
    </row>
    <row r="1793" spans="1:5" hidden="1">
      <c r="A1793" s="231"/>
      <c r="B1793" s="51">
        <v>81168</v>
      </c>
      <c r="C1793" s="17" t="s">
        <v>1143</v>
      </c>
      <c r="D1793" s="51" t="s">
        <v>2930</v>
      </c>
      <c r="E1793" s="73"/>
    </row>
    <row r="1794" spans="1:5" hidden="1">
      <c r="A1794" s="231"/>
      <c r="B1794" s="51">
        <v>81175</v>
      </c>
      <c r="C1794" s="17" t="s">
        <v>1144</v>
      </c>
      <c r="D1794" s="51" t="s">
        <v>2930</v>
      </c>
      <c r="E1794" s="73"/>
    </row>
    <row r="1795" spans="1:5" hidden="1">
      <c r="A1795" s="231"/>
      <c r="B1795" s="51">
        <v>81176</v>
      </c>
      <c r="C1795" s="17" t="s">
        <v>1145</v>
      </c>
      <c r="D1795" s="51" t="s">
        <v>2930</v>
      </c>
      <c r="E1795" s="73"/>
    </row>
    <row r="1796" spans="1:5" hidden="1">
      <c r="A1796" s="231"/>
      <c r="B1796" s="51">
        <v>81177</v>
      </c>
      <c r="C1796" s="17" t="s">
        <v>1146</v>
      </c>
      <c r="D1796" s="51" t="s">
        <v>2930</v>
      </c>
      <c r="E1796" s="73"/>
    </row>
    <row r="1797" spans="1:5" hidden="1">
      <c r="A1797" s="231"/>
      <c r="B1797" s="51">
        <v>81178</v>
      </c>
      <c r="C1797" s="17" t="s">
        <v>1147</v>
      </c>
      <c r="D1797" s="51" t="s">
        <v>2930</v>
      </c>
      <c r="E1797" s="73"/>
    </row>
    <row r="1798" spans="1:5" hidden="1">
      <c r="A1798" s="231"/>
      <c r="B1798" s="51">
        <v>81179</v>
      </c>
      <c r="C1798" s="17" t="s">
        <v>1148</v>
      </c>
      <c r="D1798" s="51" t="s">
        <v>2930</v>
      </c>
      <c r="E1798" s="73"/>
    </row>
    <row r="1799" spans="1:5" hidden="1">
      <c r="A1799" s="231"/>
      <c r="B1799" s="51">
        <v>81180</v>
      </c>
      <c r="C1799" s="17" t="s">
        <v>1149</v>
      </c>
      <c r="D1799" s="51" t="s">
        <v>2930</v>
      </c>
      <c r="E1799" s="73"/>
    </row>
    <row r="1800" spans="1:5" hidden="1">
      <c r="A1800" s="231"/>
      <c r="B1800" s="51">
        <v>81181</v>
      </c>
      <c r="C1800" s="17" t="s">
        <v>1150</v>
      </c>
      <c r="D1800" s="51" t="s">
        <v>2930</v>
      </c>
      <c r="E1800" s="73"/>
    </row>
    <row r="1801" spans="1:5" hidden="1">
      <c r="A1801" s="231"/>
      <c r="B1801" s="51">
        <v>81182</v>
      </c>
      <c r="C1801" s="17" t="s">
        <v>1151</v>
      </c>
      <c r="D1801" s="51" t="s">
        <v>2930</v>
      </c>
      <c r="E1801" s="73"/>
    </row>
    <row r="1802" spans="1:5" hidden="1">
      <c r="A1802" s="231"/>
      <c r="B1802" s="51">
        <v>81183</v>
      </c>
      <c r="C1802" s="17" t="s">
        <v>1152</v>
      </c>
      <c r="D1802" s="51" t="s">
        <v>2930</v>
      </c>
      <c r="E1802" s="73"/>
    </row>
    <row r="1803" spans="1:5" hidden="1">
      <c r="A1803" s="231"/>
      <c r="B1803" s="51">
        <v>81184</v>
      </c>
      <c r="C1803" s="17" t="s">
        <v>1153</v>
      </c>
      <c r="D1803" s="51" t="s">
        <v>2930</v>
      </c>
      <c r="E1803" s="73"/>
    </row>
    <row r="1804" spans="1:5" hidden="1">
      <c r="A1804" s="231"/>
      <c r="B1804" s="51">
        <v>81185</v>
      </c>
      <c r="C1804" s="17" t="s">
        <v>1154</v>
      </c>
      <c r="D1804" s="51" t="s">
        <v>2930</v>
      </c>
      <c r="E1804" s="73"/>
    </row>
    <row r="1805" spans="1:5" hidden="1">
      <c r="A1805" s="231"/>
      <c r="B1805" s="51">
        <v>81187</v>
      </c>
      <c r="C1805" s="17" t="s">
        <v>1155</v>
      </c>
      <c r="D1805" s="51" t="s">
        <v>2930</v>
      </c>
      <c r="E1805" s="73"/>
    </row>
    <row r="1806" spans="1:5">
      <c r="A1806" s="235"/>
      <c r="B1806" s="59">
        <v>81200</v>
      </c>
      <c r="C1806" s="38" t="s">
        <v>1156</v>
      </c>
      <c r="D1806" s="145"/>
      <c r="E1806" s="81"/>
    </row>
    <row r="1807" spans="1:5" hidden="1">
      <c r="A1807" s="231"/>
      <c r="B1807" s="51">
        <v>81201</v>
      </c>
      <c r="C1807" s="17" t="s">
        <v>1157</v>
      </c>
      <c r="D1807" s="51" t="s">
        <v>2930</v>
      </c>
      <c r="E1807" s="77"/>
    </row>
    <row r="1808" spans="1:5" hidden="1">
      <c r="A1808" s="231"/>
      <c r="B1808" s="51">
        <v>81202</v>
      </c>
      <c r="C1808" s="17" t="s">
        <v>1158</v>
      </c>
      <c r="D1808" s="51" t="s">
        <v>2930</v>
      </c>
      <c r="E1808" s="77"/>
    </row>
    <row r="1809" spans="1:5" hidden="1">
      <c r="A1809" s="231"/>
      <c r="B1809" s="51">
        <v>81203</v>
      </c>
      <c r="C1809" s="17" t="s">
        <v>1159</v>
      </c>
      <c r="D1809" s="51" t="s">
        <v>2930</v>
      </c>
      <c r="E1809" s="77"/>
    </row>
    <row r="1810" spans="1:5" hidden="1">
      <c r="A1810" s="231"/>
      <c r="B1810" s="51">
        <v>81204</v>
      </c>
      <c r="C1810" s="17" t="s">
        <v>1160</v>
      </c>
      <c r="D1810" s="51" t="s">
        <v>2930</v>
      </c>
      <c r="E1810" s="77"/>
    </row>
    <row r="1811" spans="1:5" hidden="1">
      <c r="A1811" s="231"/>
      <c r="B1811" s="51">
        <v>81205</v>
      </c>
      <c r="C1811" s="17" t="s">
        <v>1161</v>
      </c>
      <c r="D1811" s="51" t="s">
        <v>2930</v>
      </c>
      <c r="E1811" s="77"/>
    </row>
    <row r="1812" spans="1:5" hidden="1">
      <c r="A1812" s="231"/>
      <c r="B1812" s="51">
        <v>81206</v>
      </c>
      <c r="C1812" s="17" t="s">
        <v>1162</v>
      </c>
      <c r="D1812" s="51" t="s">
        <v>2930</v>
      </c>
      <c r="E1812" s="77"/>
    </row>
    <row r="1813" spans="1:5" hidden="1">
      <c r="A1813" s="231"/>
      <c r="B1813" s="51">
        <v>81207</v>
      </c>
      <c r="C1813" s="17" t="s">
        <v>1163</v>
      </c>
      <c r="D1813" s="51" t="s">
        <v>2930</v>
      </c>
      <c r="E1813" s="77"/>
    </row>
    <row r="1814" spans="1:5" hidden="1">
      <c r="A1814" s="231"/>
      <c r="B1814" s="51">
        <v>81208</v>
      </c>
      <c r="C1814" s="17" t="s">
        <v>1164</v>
      </c>
      <c r="D1814" s="51" t="s">
        <v>2930</v>
      </c>
      <c r="E1814" s="77"/>
    </row>
    <row r="1815" spans="1:5" hidden="1">
      <c r="A1815" s="231"/>
      <c r="B1815" s="51">
        <v>81209</v>
      </c>
      <c r="C1815" s="17" t="s">
        <v>1165</v>
      </c>
      <c r="D1815" s="51" t="s">
        <v>2930</v>
      </c>
      <c r="E1815" s="77"/>
    </row>
    <row r="1816" spans="1:5">
      <c r="A1816" s="234"/>
      <c r="B1816" s="59">
        <v>81230</v>
      </c>
      <c r="C1816" s="38" t="s">
        <v>1166</v>
      </c>
      <c r="D1816" s="145"/>
      <c r="E1816" s="79"/>
    </row>
    <row r="1817" spans="1:5" hidden="1">
      <c r="A1817" s="231"/>
      <c r="B1817" s="51">
        <v>81231</v>
      </c>
      <c r="C1817" s="17" t="s">
        <v>1167</v>
      </c>
      <c r="D1817" s="51" t="s">
        <v>2930</v>
      </c>
      <c r="E1817" s="77"/>
    </row>
    <row r="1818" spans="1:5" hidden="1">
      <c r="A1818" s="231"/>
      <c r="B1818" s="51">
        <v>81232</v>
      </c>
      <c r="C1818" s="17" t="s">
        <v>1168</v>
      </c>
      <c r="D1818" s="51" t="s">
        <v>2930</v>
      </c>
      <c r="E1818" s="77"/>
    </row>
    <row r="1819" spans="1:5" hidden="1">
      <c r="A1819" s="231"/>
      <c r="B1819" s="51">
        <v>81233</v>
      </c>
      <c r="C1819" s="17" t="s">
        <v>1169</v>
      </c>
      <c r="D1819" s="51" t="s">
        <v>2930</v>
      </c>
      <c r="E1819" s="77"/>
    </row>
    <row r="1820" spans="1:5" hidden="1">
      <c r="A1820" s="231"/>
      <c r="B1820" s="51">
        <v>81234</v>
      </c>
      <c r="C1820" s="17" t="s">
        <v>1170</v>
      </c>
      <c r="D1820" s="51" t="s">
        <v>2930</v>
      </c>
      <c r="E1820" s="77"/>
    </row>
    <row r="1821" spans="1:5" hidden="1">
      <c r="A1821" s="231"/>
      <c r="B1821" s="51">
        <v>81235</v>
      </c>
      <c r="C1821" s="17" t="s">
        <v>1171</v>
      </c>
      <c r="D1821" s="51" t="s">
        <v>2930</v>
      </c>
      <c r="E1821" s="77"/>
    </row>
    <row r="1822" spans="1:5" hidden="1">
      <c r="A1822" s="231"/>
      <c r="B1822" s="51">
        <v>81236</v>
      </c>
      <c r="C1822" s="17" t="s">
        <v>1172</v>
      </c>
      <c r="D1822" s="51" t="s">
        <v>2930</v>
      </c>
      <c r="E1822" s="77"/>
    </row>
    <row r="1823" spans="1:5" hidden="1">
      <c r="A1823" s="231"/>
      <c r="B1823" s="51">
        <v>81250</v>
      </c>
      <c r="C1823" s="17" t="s">
        <v>1173</v>
      </c>
      <c r="D1823" s="51" t="s">
        <v>2930</v>
      </c>
      <c r="E1823" s="77"/>
    </row>
    <row r="1824" spans="1:5" hidden="1">
      <c r="A1824" s="231"/>
      <c r="B1824" s="51">
        <v>81251</v>
      </c>
      <c r="C1824" s="17" t="s">
        <v>1174</v>
      </c>
      <c r="D1824" s="51" t="s">
        <v>2930</v>
      </c>
      <c r="E1824" s="77"/>
    </row>
    <row r="1825" spans="1:5" hidden="1">
      <c r="A1825" s="231"/>
      <c r="B1825" s="51">
        <v>81252</v>
      </c>
      <c r="C1825" s="17" t="s">
        <v>1175</v>
      </c>
      <c r="D1825" s="51" t="s">
        <v>2930</v>
      </c>
      <c r="E1825" s="77"/>
    </row>
    <row r="1826" spans="1:5" hidden="1">
      <c r="A1826" s="231"/>
      <c r="B1826" s="51">
        <v>81253</v>
      </c>
      <c r="C1826" s="17" t="s">
        <v>1176</v>
      </c>
      <c r="D1826" s="51" t="s">
        <v>2930</v>
      </c>
      <c r="E1826" s="77"/>
    </row>
    <row r="1827" spans="1:5" hidden="1">
      <c r="A1827" s="231"/>
      <c r="B1827" s="51">
        <v>81254</v>
      </c>
      <c r="C1827" s="17" t="s">
        <v>1177</v>
      </c>
      <c r="D1827" s="51" t="s">
        <v>2930</v>
      </c>
      <c r="E1827" s="77"/>
    </row>
    <row r="1828" spans="1:5" hidden="1">
      <c r="A1828" s="231"/>
      <c r="B1828" s="51">
        <v>81255</v>
      </c>
      <c r="C1828" s="17" t="s">
        <v>1178</v>
      </c>
      <c r="D1828" s="51" t="s">
        <v>2930</v>
      </c>
      <c r="E1828" s="77"/>
    </row>
    <row r="1829" spans="1:5" hidden="1">
      <c r="A1829" s="231"/>
      <c r="B1829" s="51">
        <v>81256</v>
      </c>
      <c r="C1829" s="17" t="s">
        <v>1179</v>
      </c>
      <c r="D1829" s="51" t="s">
        <v>2930</v>
      </c>
      <c r="E1829" s="77"/>
    </row>
    <row r="1830" spans="1:5" hidden="1">
      <c r="A1830" s="231"/>
      <c r="B1830" s="51">
        <v>81257</v>
      </c>
      <c r="C1830" s="17" t="s">
        <v>1180</v>
      </c>
      <c r="D1830" s="51" t="s">
        <v>2930</v>
      </c>
      <c r="E1830" s="77"/>
    </row>
    <row r="1831" spans="1:5" hidden="1">
      <c r="A1831" s="231"/>
      <c r="B1831" s="51">
        <v>81258</v>
      </c>
      <c r="C1831" s="17" t="s">
        <v>1181</v>
      </c>
      <c r="D1831" s="51" t="s">
        <v>2930</v>
      </c>
      <c r="E1831" s="77"/>
    </row>
    <row r="1832" spans="1:5">
      <c r="A1832" s="234"/>
      <c r="B1832" s="59">
        <v>81300</v>
      </c>
      <c r="C1832" s="38" t="s">
        <v>1182</v>
      </c>
      <c r="D1832" s="145"/>
      <c r="E1832" s="79"/>
    </row>
    <row r="1833" spans="1:5" hidden="1">
      <c r="A1833" s="231"/>
      <c r="B1833" s="51">
        <v>81301</v>
      </c>
      <c r="C1833" s="82" t="s">
        <v>1183</v>
      </c>
      <c r="D1833" s="51" t="s">
        <v>2930</v>
      </c>
      <c r="E1833" s="77"/>
    </row>
    <row r="1834" spans="1:5" hidden="1">
      <c r="A1834" s="231"/>
      <c r="B1834" s="51">
        <v>81302</v>
      </c>
      <c r="C1834" s="82" t="s">
        <v>1184</v>
      </c>
      <c r="D1834" s="51" t="s">
        <v>2930</v>
      </c>
      <c r="E1834" s="77"/>
    </row>
    <row r="1835" spans="1:5" hidden="1">
      <c r="A1835" s="231"/>
      <c r="B1835" s="51">
        <v>81303</v>
      </c>
      <c r="C1835" s="82" t="s">
        <v>1185</v>
      </c>
      <c r="D1835" s="51" t="s">
        <v>2930</v>
      </c>
      <c r="E1835" s="77"/>
    </row>
    <row r="1836" spans="1:5" hidden="1">
      <c r="A1836" s="231"/>
      <c r="B1836" s="51">
        <v>81304</v>
      </c>
      <c r="C1836" s="82" t="s">
        <v>1186</v>
      </c>
      <c r="D1836" s="51" t="s">
        <v>2930</v>
      </c>
      <c r="E1836" s="77"/>
    </row>
    <row r="1837" spans="1:5" hidden="1">
      <c r="A1837" s="231"/>
      <c r="B1837" s="51">
        <v>81305</v>
      </c>
      <c r="C1837" s="82" t="s">
        <v>1187</v>
      </c>
      <c r="D1837" s="51" t="s">
        <v>2930</v>
      </c>
      <c r="E1837" s="77"/>
    </row>
    <row r="1838" spans="1:5" hidden="1">
      <c r="A1838" s="231"/>
      <c r="B1838" s="51">
        <v>81306</v>
      </c>
      <c r="C1838" s="82" t="s">
        <v>1188</v>
      </c>
      <c r="D1838" s="51" t="s">
        <v>2930</v>
      </c>
      <c r="E1838" s="77"/>
    </row>
    <row r="1839" spans="1:5" hidden="1">
      <c r="A1839" s="231"/>
      <c r="B1839" s="51">
        <v>81307</v>
      </c>
      <c r="C1839" s="82" t="s">
        <v>1189</v>
      </c>
      <c r="D1839" s="51" t="s">
        <v>2930</v>
      </c>
      <c r="E1839" s="77"/>
    </row>
    <row r="1840" spans="1:5" hidden="1">
      <c r="A1840" s="231"/>
      <c r="B1840" s="51">
        <v>81308</v>
      </c>
      <c r="C1840" s="82" t="s">
        <v>1190</v>
      </c>
      <c r="D1840" s="51" t="s">
        <v>2930</v>
      </c>
      <c r="E1840" s="77"/>
    </row>
    <row r="1841" spans="1:6" hidden="1">
      <c r="A1841" s="231"/>
      <c r="B1841" s="51">
        <v>81309</v>
      </c>
      <c r="C1841" s="82" t="s">
        <v>1191</v>
      </c>
      <c r="D1841" s="51" t="s">
        <v>2930</v>
      </c>
      <c r="E1841" s="77"/>
    </row>
    <row r="1842" spans="1:6">
      <c r="A1842" s="91" t="s">
        <v>3827</v>
      </c>
      <c r="B1842" s="56">
        <v>81320</v>
      </c>
      <c r="C1842" s="83" t="s">
        <v>1192</v>
      </c>
      <c r="D1842" s="56" t="s">
        <v>2930</v>
      </c>
      <c r="E1842" s="84">
        <f>ROUND((E1843),2)</f>
        <v>2</v>
      </c>
    </row>
    <row r="1843" spans="1:6" ht="22.8">
      <c r="A1843" s="93"/>
      <c r="B1843" s="99"/>
      <c r="C1843" s="104" t="s">
        <v>2910</v>
      </c>
      <c r="D1843" s="99" t="s">
        <v>2930</v>
      </c>
      <c r="E1843" s="135">
        <v>2</v>
      </c>
    </row>
    <row r="1844" spans="1:6">
      <c r="A1844" s="231"/>
      <c r="B1844" s="51"/>
      <c r="C1844" s="82"/>
      <c r="D1844" s="51"/>
      <c r="E1844" s="77"/>
    </row>
    <row r="1845" spans="1:6" hidden="1">
      <c r="A1845" s="231"/>
      <c r="B1845" s="51">
        <v>81321</v>
      </c>
      <c r="C1845" s="82" t="s">
        <v>1193</v>
      </c>
      <c r="D1845" s="51" t="s">
        <v>2930</v>
      </c>
      <c r="E1845" s="77"/>
    </row>
    <row r="1846" spans="1:6" hidden="1">
      <c r="A1846" s="231"/>
      <c r="B1846" s="51">
        <v>81322</v>
      </c>
      <c r="C1846" s="82" t="s">
        <v>1194</v>
      </c>
      <c r="D1846" s="51" t="s">
        <v>2930</v>
      </c>
      <c r="E1846" s="77"/>
    </row>
    <row r="1847" spans="1:6" hidden="1">
      <c r="A1847" s="231"/>
      <c r="B1847" s="51">
        <v>81323</v>
      </c>
      <c r="C1847" s="82" t="s">
        <v>1195</v>
      </c>
      <c r="D1847" s="51" t="s">
        <v>2930</v>
      </c>
      <c r="E1847" s="77"/>
    </row>
    <row r="1848" spans="1:6" s="47" customFormat="1" ht="13.2" hidden="1">
      <c r="A1848" s="231"/>
      <c r="B1848" s="51">
        <v>81324</v>
      </c>
      <c r="C1848" s="82" t="s">
        <v>1196</v>
      </c>
      <c r="D1848" s="51" t="s">
        <v>2930</v>
      </c>
      <c r="E1848" s="77"/>
      <c r="F1848" s="163"/>
    </row>
    <row r="1849" spans="1:6" hidden="1">
      <c r="A1849" s="231"/>
      <c r="B1849" s="51">
        <v>81325</v>
      </c>
      <c r="C1849" s="82" t="s">
        <v>1197</v>
      </c>
      <c r="D1849" s="51" t="s">
        <v>2930</v>
      </c>
      <c r="E1849" s="77"/>
    </row>
    <row r="1850" spans="1:6" hidden="1">
      <c r="A1850" s="231"/>
      <c r="B1850" s="51">
        <v>81326</v>
      </c>
      <c r="C1850" s="82" t="s">
        <v>1198</v>
      </c>
      <c r="D1850" s="51" t="s">
        <v>2930</v>
      </c>
      <c r="E1850" s="77"/>
    </row>
    <row r="1851" spans="1:6" hidden="1">
      <c r="A1851" s="231"/>
      <c r="B1851" s="51">
        <v>81327</v>
      </c>
      <c r="C1851" s="82" t="s">
        <v>1199</v>
      </c>
      <c r="D1851" s="51" t="s">
        <v>2930</v>
      </c>
      <c r="E1851" s="77"/>
    </row>
    <row r="1852" spans="1:6" hidden="1">
      <c r="A1852" s="231"/>
      <c r="B1852" s="51">
        <v>81328</v>
      </c>
      <c r="C1852" s="82" t="s">
        <v>1200</v>
      </c>
      <c r="D1852" s="51" t="s">
        <v>2930</v>
      </c>
      <c r="E1852" s="77"/>
    </row>
    <row r="1853" spans="1:6" hidden="1">
      <c r="A1853" s="231"/>
      <c r="B1853" s="51">
        <v>81340</v>
      </c>
      <c r="C1853" s="82" t="s">
        <v>1201</v>
      </c>
      <c r="D1853" s="51" t="s">
        <v>2930</v>
      </c>
      <c r="E1853" s="77"/>
    </row>
    <row r="1854" spans="1:6" hidden="1">
      <c r="A1854" s="231"/>
      <c r="B1854" s="51">
        <v>81341</v>
      </c>
      <c r="C1854" s="82" t="s">
        <v>1202</v>
      </c>
      <c r="D1854" s="51" t="s">
        <v>2930</v>
      </c>
      <c r="E1854" s="77"/>
    </row>
    <row r="1855" spans="1:6" hidden="1">
      <c r="A1855" s="231"/>
      <c r="B1855" s="51">
        <v>81342</v>
      </c>
      <c r="C1855" s="82" t="s">
        <v>1203</v>
      </c>
      <c r="D1855" s="51" t="s">
        <v>2930</v>
      </c>
      <c r="E1855" s="77"/>
    </row>
    <row r="1856" spans="1:6" hidden="1">
      <c r="A1856" s="231"/>
      <c r="B1856" s="51">
        <v>81343</v>
      </c>
      <c r="C1856" s="82" t="s">
        <v>1204</v>
      </c>
      <c r="D1856" s="51" t="s">
        <v>2930</v>
      </c>
      <c r="E1856" s="77"/>
    </row>
    <row r="1857" spans="1:6" hidden="1">
      <c r="A1857" s="231"/>
      <c r="B1857" s="51">
        <v>81350</v>
      </c>
      <c r="C1857" s="82" t="s">
        <v>1205</v>
      </c>
      <c r="D1857" s="51" t="s">
        <v>2930</v>
      </c>
      <c r="E1857" s="77"/>
    </row>
    <row r="1858" spans="1:6" hidden="1">
      <c r="A1858" s="231"/>
      <c r="B1858" s="51">
        <v>81351</v>
      </c>
      <c r="C1858" s="82" t="s">
        <v>1206</v>
      </c>
      <c r="D1858" s="51" t="s">
        <v>2930</v>
      </c>
      <c r="E1858" s="77"/>
    </row>
    <row r="1859" spans="1:6" ht="26.4" hidden="1">
      <c r="A1859" s="231"/>
      <c r="B1859" s="51">
        <v>81360</v>
      </c>
      <c r="C1859" s="82" t="s">
        <v>1207</v>
      </c>
      <c r="D1859" s="51" t="s">
        <v>2930</v>
      </c>
      <c r="E1859" s="77"/>
    </row>
    <row r="1860" spans="1:6" ht="26.4" hidden="1">
      <c r="A1860" s="231"/>
      <c r="B1860" s="51">
        <v>81361</v>
      </c>
      <c r="C1860" s="82" t="s">
        <v>1208</v>
      </c>
      <c r="D1860" s="51" t="s">
        <v>2930</v>
      </c>
      <c r="E1860" s="77"/>
    </row>
    <row r="1861" spans="1:6" hidden="1">
      <c r="A1861" s="231"/>
      <c r="B1861" s="51">
        <v>81368</v>
      </c>
      <c r="C1861" s="82" t="s">
        <v>1209</v>
      </c>
      <c r="D1861" s="51" t="s">
        <v>2930</v>
      </c>
      <c r="E1861" s="77"/>
    </row>
    <row r="1862" spans="1:6" s="47" customFormat="1" ht="13.2" hidden="1">
      <c r="A1862" s="231"/>
      <c r="B1862" s="51">
        <v>81369</v>
      </c>
      <c r="C1862" s="82" t="s">
        <v>1210</v>
      </c>
      <c r="D1862" s="51" t="s">
        <v>2930</v>
      </c>
      <c r="E1862" s="77"/>
      <c r="F1862" s="163"/>
    </row>
    <row r="1863" spans="1:6" ht="26.4" hidden="1">
      <c r="A1863" s="231"/>
      <c r="B1863" s="51">
        <v>81375</v>
      </c>
      <c r="C1863" s="82" t="s">
        <v>1211</v>
      </c>
      <c r="D1863" s="51" t="s">
        <v>2930</v>
      </c>
      <c r="E1863" s="77"/>
    </row>
    <row r="1864" spans="1:6" hidden="1">
      <c r="A1864" s="231"/>
      <c r="B1864" s="51">
        <v>81376</v>
      </c>
      <c r="C1864" s="82" t="s">
        <v>1212</v>
      </c>
      <c r="D1864" s="51" t="s">
        <v>2930</v>
      </c>
      <c r="E1864" s="77"/>
    </row>
    <row r="1865" spans="1:6" hidden="1">
      <c r="A1865" s="231"/>
      <c r="B1865" s="51">
        <v>81380</v>
      </c>
      <c r="C1865" s="82" t="s">
        <v>1213</v>
      </c>
      <c r="D1865" s="51" t="s">
        <v>2930</v>
      </c>
      <c r="E1865" s="77"/>
    </row>
    <row r="1866" spans="1:6" hidden="1">
      <c r="A1866" s="231"/>
      <c r="B1866" s="51">
        <v>81381</v>
      </c>
      <c r="C1866" s="82" t="s">
        <v>1214</v>
      </c>
      <c r="D1866" s="51" t="s">
        <v>2930</v>
      </c>
      <c r="E1866" s="77"/>
    </row>
    <row r="1867" spans="1:6">
      <c r="A1867" s="234"/>
      <c r="B1867" s="60">
        <v>81400</v>
      </c>
      <c r="C1867" s="38" t="s">
        <v>1215</v>
      </c>
      <c r="D1867" s="145"/>
      <c r="E1867" s="79"/>
    </row>
    <row r="1868" spans="1:6" hidden="1">
      <c r="A1868" s="231"/>
      <c r="B1868" s="51">
        <v>81401</v>
      </c>
      <c r="C1868" s="82" t="s">
        <v>1216</v>
      </c>
      <c r="D1868" s="51" t="s">
        <v>2930</v>
      </c>
      <c r="E1868" s="77"/>
    </row>
    <row r="1869" spans="1:6" hidden="1">
      <c r="A1869" s="91"/>
      <c r="B1869" s="56">
        <v>81402</v>
      </c>
      <c r="C1869" s="83" t="s">
        <v>1217</v>
      </c>
      <c r="D1869" s="56" t="s">
        <v>2930</v>
      </c>
      <c r="E1869" s="84"/>
    </row>
    <row r="1870" spans="1:6" hidden="1">
      <c r="A1870" s="91"/>
      <c r="B1870" s="51">
        <v>81403</v>
      </c>
      <c r="C1870" s="82" t="s">
        <v>1218</v>
      </c>
      <c r="D1870" s="51" t="s">
        <v>2930</v>
      </c>
      <c r="E1870" s="77"/>
    </row>
    <row r="1871" spans="1:6" hidden="1">
      <c r="A1871" s="231"/>
      <c r="B1871" s="51">
        <v>81404</v>
      </c>
      <c r="C1871" s="82" t="s">
        <v>1219</v>
      </c>
      <c r="D1871" s="51" t="s">
        <v>2930</v>
      </c>
      <c r="E1871" s="77"/>
    </row>
    <row r="1872" spans="1:6" hidden="1">
      <c r="A1872" s="231"/>
      <c r="B1872" s="51">
        <v>81405</v>
      </c>
      <c r="C1872" s="82" t="s">
        <v>1220</v>
      </c>
      <c r="D1872" s="51" t="s">
        <v>2930</v>
      </c>
      <c r="E1872" s="77"/>
    </row>
    <row r="1873" spans="1:6" s="50" customFormat="1" hidden="1">
      <c r="A1873" s="231"/>
      <c r="B1873" s="51">
        <v>81406</v>
      </c>
      <c r="C1873" s="82" t="s">
        <v>1221</v>
      </c>
      <c r="D1873" s="51" t="s">
        <v>2930</v>
      </c>
      <c r="E1873" s="77"/>
      <c r="F1873" s="164"/>
    </row>
    <row r="1874" spans="1:6" hidden="1">
      <c r="A1874" s="231"/>
      <c r="B1874" s="51">
        <v>81407</v>
      </c>
      <c r="C1874" s="82" t="s">
        <v>1222</v>
      </c>
      <c r="D1874" s="51" t="s">
        <v>2930</v>
      </c>
      <c r="E1874" s="77"/>
    </row>
    <row r="1875" spans="1:6" hidden="1">
      <c r="A1875" s="231"/>
      <c r="B1875" s="51">
        <v>81408</v>
      </c>
      <c r="C1875" s="82" t="s">
        <v>1223</v>
      </c>
      <c r="D1875" s="51" t="s">
        <v>2930</v>
      </c>
      <c r="E1875" s="77"/>
    </row>
    <row r="1876" spans="1:6" hidden="1">
      <c r="A1876" s="231"/>
      <c r="B1876" s="51">
        <v>81409</v>
      </c>
      <c r="C1876" s="82" t="s">
        <v>1224</v>
      </c>
      <c r="D1876" s="51" t="s">
        <v>2930</v>
      </c>
      <c r="E1876" s="77"/>
    </row>
    <row r="1877" spans="1:6">
      <c r="A1877" s="91" t="s">
        <v>3828</v>
      </c>
      <c r="B1877" s="56">
        <v>81420</v>
      </c>
      <c r="C1877" s="83" t="s">
        <v>1225</v>
      </c>
      <c r="D1877" s="56" t="s">
        <v>2930</v>
      </c>
      <c r="E1877" s="84">
        <f>ROUND((E1878),2)</f>
        <v>14</v>
      </c>
    </row>
    <row r="1878" spans="1:6" ht="22.8">
      <c r="A1878" s="91"/>
      <c r="B1878" s="115"/>
      <c r="C1878" s="109" t="s">
        <v>2917</v>
      </c>
      <c r="D1878" s="99" t="s">
        <v>2930</v>
      </c>
      <c r="E1878" s="135">
        <v>14</v>
      </c>
    </row>
    <row r="1879" spans="1:6">
      <c r="A1879" s="231"/>
      <c r="B1879" s="51"/>
      <c r="C1879" s="82"/>
      <c r="D1879" s="51"/>
      <c r="E1879" s="77"/>
    </row>
    <row r="1880" spans="1:6" hidden="1">
      <c r="A1880" s="231"/>
      <c r="B1880" s="51">
        <v>81421</v>
      </c>
      <c r="C1880" s="82" t="s">
        <v>1226</v>
      </c>
      <c r="D1880" s="51" t="s">
        <v>2930</v>
      </c>
      <c r="E1880" s="77"/>
    </row>
    <row r="1881" spans="1:6" hidden="1">
      <c r="A1881" s="231"/>
      <c r="B1881" s="51">
        <v>81422</v>
      </c>
      <c r="C1881" s="82" t="s">
        <v>1227</v>
      </c>
      <c r="D1881" s="51" t="s">
        <v>2930</v>
      </c>
      <c r="E1881" s="77"/>
    </row>
    <row r="1882" spans="1:6" hidden="1">
      <c r="A1882" s="231"/>
      <c r="B1882" s="51">
        <v>81423</v>
      </c>
      <c r="C1882" s="82" t="s">
        <v>1228</v>
      </c>
      <c r="D1882" s="51" t="s">
        <v>2930</v>
      </c>
      <c r="E1882" s="77"/>
    </row>
    <row r="1883" spans="1:6" hidden="1">
      <c r="A1883" s="231"/>
      <c r="B1883" s="51">
        <v>81424</v>
      </c>
      <c r="C1883" s="82" t="s">
        <v>1229</v>
      </c>
      <c r="D1883" s="51" t="s">
        <v>2930</v>
      </c>
      <c r="E1883" s="77"/>
    </row>
    <row r="1884" spans="1:6" hidden="1">
      <c r="A1884" s="231"/>
      <c r="B1884" s="51">
        <v>81425</v>
      </c>
      <c r="C1884" s="82" t="s">
        <v>1230</v>
      </c>
      <c r="D1884" s="51" t="s">
        <v>2930</v>
      </c>
      <c r="E1884" s="77"/>
    </row>
    <row r="1885" spans="1:6" hidden="1">
      <c r="A1885" s="231"/>
      <c r="B1885" s="51">
        <v>81426</v>
      </c>
      <c r="C1885" s="82" t="s">
        <v>1231</v>
      </c>
      <c r="D1885" s="51" t="s">
        <v>2930</v>
      </c>
      <c r="E1885" s="77"/>
    </row>
    <row r="1886" spans="1:6" s="47" customFormat="1" ht="13.2" hidden="1">
      <c r="A1886" s="231"/>
      <c r="B1886" s="51">
        <v>81427</v>
      </c>
      <c r="C1886" s="82" t="s">
        <v>1232</v>
      </c>
      <c r="D1886" s="51" t="s">
        <v>2930</v>
      </c>
      <c r="E1886" s="77"/>
      <c r="F1886" s="163"/>
    </row>
    <row r="1887" spans="1:6" hidden="1">
      <c r="A1887" s="231"/>
      <c r="B1887" s="51">
        <v>81428</v>
      </c>
      <c r="C1887" s="82" t="s">
        <v>1233</v>
      </c>
      <c r="D1887" s="51" t="s">
        <v>2930</v>
      </c>
      <c r="E1887" s="77"/>
    </row>
    <row r="1888" spans="1:6" hidden="1">
      <c r="A1888" s="231"/>
      <c r="B1888" s="51">
        <v>81429</v>
      </c>
      <c r="C1888" s="82" t="s">
        <v>1234</v>
      </c>
      <c r="D1888" s="51" t="s">
        <v>2930</v>
      </c>
      <c r="E1888" s="77"/>
    </row>
    <row r="1889" spans="1:5" ht="26.4" hidden="1">
      <c r="A1889" s="231"/>
      <c r="B1889" s="51">
        <v>81439</v>
      </c>
      <c r="C1889" s="82" t="s">
        <v>1235</v>
      </c>
      <c r="D1889" s="51" t="s">
        <v>2930</v>
      </c>
      <c r="E1889" s="77"/>
    </row>
    <row r="1890" spans="1:5" ht="26.4" hidden="1">
      <c r="A1890" s="231"/>
      <c r="B1890" s="51">
        <v>81440</v>
      </c>
      <c r="C1890" s="82" t="s">
        <v>1236</v>
      </c>
      <c r="D1890" s="51" t="s">
        <v>2930</v>
      </c>
      <c r="E1890" s="77"/>
    </row>
    <row r="1891" spans="1:5" hidden="1">
      <c r="A1891" s="231"/>
      <c r="B1891" s="51">
        <v>81441</v>
      </c>
      <c r="C1891" s="82" t="s">
        <v>1237</v>
      </c>
      <c r="D1891" s="51" t="s">
        <v>2930</v>
      </c>
      <c r="E1891" s="77"/>
    </row>
    <row r="1892" spans="1:5" ht="26.4" hidden="1">
      <c r="A1892" s="231"/>
      <c r="B1892" s="51">
        <v>81442</v>
      </c>
      <c r="C1892" s="82" t="s">
        <v>1238</v>
      </c>
      <c r="D1892" s="51" t="s">
        <v>2930</v>
      </c>
      <c r="E1892" s="77"/>
    </row>
    <row r="1893" spans="1:5" ht="26.4" hidden="1">
      <c r="A1893" s="231"/>
      <c r="B1893" s="51">
        <v>81443</v>
      </c>
      <c r="C1893" s="82" t="s">
        <v>1239</v>
      </c>
      <c r="D1893" s="51" t="s">
        <v>2930</v>
      </c>
      <c r="E1893" s="77"/>
    </row>
    <row r="1894" spans="1:5" ht="26.4" hidden="1">
      <c r="A1894" s="231"/>
      <c r="B1894" s="51">
        <v>81444</v>
      </c>
      <c r="C1894" s="82" t="s">
        <v>1240</v>
      </c>
      <c r="D1894" s="51" t="s">
        <v>2930</v>
      </c>
      <c r="E1894" s="77"/>
    </row>
    <row r="1895" spans="1:5" ht="26.4" hidden="1">
      <c r="A1895" s="231"/>
      <c r="B1895" s="51">
        <v>81445</v>
      </c>
      <c r="C1895" s="82" t="s">
        <v>1241</v>
      </c>
      <c r="D1895" s="51" t="s">
        <v>2930</v>
      </c>
      <c r="E1895" s="77"/>
    </row>
    <row r="1896" spans="1:5">
      <c r="A1896" s="234"/>
      <c r="B1896" s="60">
        <v>81460</v>
      </c>
      <c r="C1896" s="38" t="s">
        <v>1242</v>
      </c>
      <c r="D1896" s="145"/>
      <c r="E1896" s="79"/>
    </row>
    <row r="1897" spans="1:5" hidden="1">
      <c r="A1897" s="231"/>
      <c r="B1897" s="51">
        <v>81461</v>
      </c>
      <c r="C1897" s="82" t="s">
        <v>1243</v>
      </c>
      <c r="D1897" s="51" t="s">
        <v>2930</v>
      </c>
      <c r="E1897" s="77"/>
    </row>
    <row r="1898" spans="1:5" hidden="1">
      <c r="A1898" s="231"/>
      <c r="B1898" s="51">
        <v>81462</v>
      </c>
      <c r="C1898" s="82" t="s">
        <v>1244</v>
      </c>
      <c r="D1898" s="51" t="s">
        <v>2930</v>
      </c>
      <c r="E1898" s="77"/>
    </row>
    <row r="1899" spans="1:5" hidden="1">
      <c r="A1899" s="231"/>
      <c r="B1899" s="51">
        <v>81463</v>
      </c>
      <c r="C1899" s="82" t="s">
        <v>1245</v>
      </c>
      <c r="D1899" s="51" t="s">
        <v>2930</v>
      </c>
      <c r="E1899" s="77"/>
    </row>
    <row r="1900" spans="1:5" hidden="1">
      <c r="A1900" s="231"/>
      <c r="B1900" s="51">
        <v>81464</v>
      </c>
      <c r="C1900" s="82" t="s">
        <v>1246</v>
      </c>
      <c r="D1900" s="51" t="s">
        <v>2930</v>
      </c>
      <c r="E1900" s="77"/>
    </row>
    <row r="1901" spans="1:5" hidden="1">
      <c r="A1901" s="231"/>
      <c r="B1901" s="51">
        <v>81465</v>
      </c>
      <c r="C1901" s="82" t="s">
        <v>1247</v>
      </c>
      <c r="D1901" s="51" t="s">
        <v>2930</v>
      </c>
      <c r="E1901" s="77"/>
    </row>
    <row r="1902" spans="1:5" hidden="1">
      <c r="A1902" s="231"/>
      <c r="B1902" s="51">
        <v>81466</v>
      </c>
      <c r="C1902" s="82" t="s">
        <v>1248</v>
      </c>
      <c r="D1902" s="51" t="s">
        <v>2930</v>
      </c>
      <c r="E1902" s="77"/>
    </row>
    <row r="1903" spans="1:5" hidden="1">
      <c r="A1903" s="231"/>
      <c r="B1903" s="51">
        <v>81467</v>
      </c>
      <c r="C1903" s="82" t="s">
        <v>1249</v>
      </c>
      <c r="D1903" s="51" t="s">
        <v>2930</v>
      </c>
      <c r="E1903" s="77"/>
    </row>
    <row r="1904" spans="1:5">
      <c r="A1904" s="234"/>
      <c r="B1904" s="60">
        <v>81500</v>
      </c>
      <c r="C1904" s="38" t="s">
        <v>1250</v>
      </c>
      <c r="D1904" s="145"/>
      <c r="E1904" s="79"/>
    </row>
    <row r="1905" spans="1:5" hidden="1">
      <c r="A1905" s="91"/>
      <c r="B1905" s="51">
        <v>81501</v>
      </c>
      <c r="C1905" s="82" t="s">
        <v>1251</v>
      </c>
      <c r="D1905" s="51" t="s">
        <v>2930</v>
      </c>
      <c r="E1905" s="77"/>
    </row>
    <row r="1906" spans="1:5" hidden="1">
      <c r="A1906" s="231"/>
      <c r="B1906" s="51">
        <v>81502</v>
      </c>
      <c r="C1906" s="82" t="s">
        <v>1252</v>
      </c>
      <c r="D1906" s="51" t="s">
        <v>2930</v>
      </c>
      <c r="E1906" s="77"/>
    </row>
    <row r="1907" spans="1:5" hidden="1">
      <c r="A1907" s="231"/>
      <c r="B1907" s="51">
        <v>81503</v>
      </c>
      <c r="C1907" s="82" t="s">
        <v>1253</v>
      </c>
      <c r="D1907" s="51" t="s">
        <v>2930</v>
      </c>
      <c r="E1907" s="77"/>
    </row>
    <row r="1908" spans="1:5" hidden="1">
      <c r="A1908" s="91"/>
      <c r="B1908" s="51">
        <v>81504</v>
      </c>
      <c r="C1908" s="82" t="s">
        <v>1254</v>
      </c>
      <c r="D1908" s="51" t="s">
        <v>2930</v>
      </c>
      <c r="E1908" s="77"/>
    </row>
    <row r="1909" spans="1:5">
      <c r="A1909" s="234"/>
      <c r="B1909" s="60">
        <v>81535</v>
      </c>
      <c r="C1909" s="38" t="s">
        <v>1255</v>
      </c>
      <c r="D1909" s="145"/>
      <c r="E1909" s="79"/>
    </row>
    <row r="1910" spans="1:5" hidden="1">
      <c r="A1910" s="231"/>
      <c r="B1910" s="51">
        <v>81536</v>
      </c>
      <c r="C1910" s="82" t="s">
        <v>1256</v>
      </c>
      <c r="D1910" s="51" t="s">
        <v>2930</v>
      </c>
      <c r="E1910" s="77"/>
    </row>
    <row r="1911" spans="1:5" hidden="1">
      <c r="A1911" s="231"/>
      <c r="B1911" s="51">
        <v>81537</v>
      </c>
      <c r="C1911" s="82" t="s">
        <v>1257</v>
      </c>
      <c r="D1911" s="51" t="s">
        <v>2930</v>
      </c>
      <c r="E1911" s="77"/>
    </row>
    <row r="1912" spans="1:5" hidden="1">
      <c r="A1912" s="231"/>
      <c r="B1912" s="51">
        <v>81538</v>
      </c>
      <c r="C1912" s="82" t="s">
        <v>1258</v>
      </c>
      <c r="D1912" s="51" t="s">
        <v>2930</v>
      </c>
      <c r="E1912" s="77"/>
    </row>
    <row r="1913" spans="1:5" hidden="1">
      <c r="A1913" s="231"/>
      <c r="B1913" s="51">
        <v>81539</v>
      </c>
      <c r="C1913" s="82" t="s">
        <v>1259</v>
      </c>
      <c r="D1913" s="51" t="s">
        <v>2930</v>
      </c>
      <c r="E1913" s="77"/>
    </row>
    <row r="1914" spans="1:5" hidden="1">
      <c r="A1914" s="231"/>
      <c r="B1914" s="51">
        <v>81540</v>
      </c>
      <c r="C1914" s="82" t="s">
        <v>1260</v>
      </c>
      <c r="D1914" s="51" t="s">
        <v>2930</v>
      </c>
      <c r="E1914" s="77"/>
    </row>
    <row r="1915" spans="1:5" hidden="1">
      <c r="A1915" s="231"/>
      <c r="B1915" s="51">
        <v>81541</v>
      </c>
      <c r="C1915" s="82" t="s">
        <v>1261</v>
      </c>
      <c r="D1915" s="51" t="s">
        <v>2930</v>
      </c>
      <c r="E1915" s="77"/>
    </row>
    <row r="1916" spans="1:5" hidden="1">
      <c r="A1916" s="231"/>
      <c r="B1916" s="51">
        <v>81550</v>
      </c>
      <c r="C1916" s="82" t="s">
        <v>1262</v>
      </c>
      <c r="D1916" s="51" t="s">
        <v>2930</v>
      </c>
      <c r="E1916" s="77"/>
    </row>
    <row r="1917" spans="1:5" hidden="1">
      <c r="A1917" s="231"/>
      <c r="B1917" s="51">
        <v>81551</v>
      </c>
      <c r="C1917" s="82" t="s">
        <v>1263</v>
      </c>
      <c r="D1917" s="51" t="s">
        <v>2930</v>
      </c>
      <c r="E1917" s="77"/>
    </row>
    <row r="1918" spans="1:5">
      <c r="A1918" s="234"/>
      <c r="B1918" s="60">
        <v>81570</v>
      </c>
      <c r="C1918" s="38" t="s">
        <v>1264</v>
      </c>
      <c r="D1918" s="145"/>
      <c r="E1918" s="79"/>
    </row>
    <row r="1919" spans="1:5" hidden="1">
      <c r="A1919" s="231"/>
      <c r="B1919" s="51">
        <v>81571</v>
      </c>
      <c r="C1919" s="82" t="s">
        <v>1265</v>
      </c>
      <c r="D1919" s="51" t="s">
        <v>2930</v>
      </c>
      <c r="E1919" s="77"/>
    </row>
    <row r="1920" spans="1:5" hidden="1">
      <c r="A1920" s="231"/>
      <c r="B1920" s="51">
        <v>81572</v>
      </c>
      <c r="C1920" s="82" t="s">
        <v>1266</v>
      </c>
      <c r="D1920" s="51" t="s">
        <v>2930</v>
      </c>
      <c r="E1920" s="77"/>
    </row>
    <row r="1921" spans="1:5">
      <c r="A1921" s="234"/>
      <c r="B1921" s="60">
        <v>81580</v>
      </c>
      <c r="C1921" s="38" t="s">
        <v>1267</v>
      </c>
      <c r="D1921" s="145" t="s">
        <v>226</v>
      </c>
      <c r="E1921" s="79"/>
    </row>
    <row r="1922" spans="1:5" hidden="1">
      <c r="A1922" s="231"/>
      <c r="B1922" s="51">
        <v>81581</v>
      </c>
      <c r="C1922" s="82" t="s">
        <v>1268</v>
      </c>
      <c r="D1922" s="51" t="s">
        <v>2930</v>
      </c>
      <c r="E1922" s="77"/>
    </row>
    <row r="1923" spans="1:5">
      <c r="A1923" s="234"/>
      <c r="B1923" s="60">
        <v>81600</v>
      </c>
      <c r="C1923" s="38" t="s">
        <v>1269</v>
      </c>
      <c r="D1923" s="145"/>
      <c r="E1923" s="79"/>
    </row>
    <row r="1924" spans="1:5">
      <c r="A1924" s="234"/>
      <c r="B1924" s="59">
        <v>81601</v>
      </c>
      <c r="C1924" s="36" t="s">
        <v>1135</v>
      </c>
      <c r="D1924" s="144"/>
      <c r="E1924" s="79"/>
    </row>
    <row r="1925" spans="1:5" hidden="1">
      <c r="A1925" s="231"/>
      <c r="B1925" s="51">
        <v>81602</v>
      </c>
      <c r="C1925" s="82" t="s">
        <v>1270</v>
      </c>
      <c r="D1925" s="51" t="s">
        <v>2930</v>
      </c>
      <c r="E1925" s="77"/>
    </row>
    <row r="1926" spans="1:5">
      <c r="A1926" s="234"/>
      <c r="B1926" s="60">
        <v>81640</v>
      </c>
      <c r="C1926" s="38" t="s">
        <v>1166</v>
      </c>
      <c r="D1926" s="145"/>
      <c r="E1926" s="79"/>
    </row>
    <row r="1927" spans="1:5" hidden="1">
      <c r="A1927" s="231"/>
      <c r="B1927" s="51">
        <v>81641</v>
      </c>
      <c r="C1927" s="82" t="s">
        <v>1271</v>
      </c>
      <c r="D1927" s="51" t="s">
        <v>2930</v>
      </c>
      <c r="E1927" s="73"/>
    </row>
    <row r="1928" spans="1:5" hidden="1">
      <c r="A1928" s="231"/>
      <c r="B1928" s="51">
        <v>81642</v>
      </c>
      <c r="C1928" s="82" t="s">
        <v>1272</v>
      </c>
      <c r="D1928" s="51" t="s">
        <v>2930</v>
      </c>
      <c r="E1928" s="73"/>
    </row>
    <row r="1929" spans="1:5" hidden="1">
      <c r="A1929" s="231"/>
      <c r="B1929" s="51">
        <v>81643</v>
      </c>
      <c r="C1929" s="82" t="s">
        <v>1273</v>
      </c>
      <c r="D1929" s="51" t="s">
        <v>2930</v>
      </c>
      <c r="E1929" s="73"/>
    </row>
    <row r="1930" spans="1:5">
      <c r="A1930" s="234"/>
      <c r="B1930" s="60">
        <v>81660</v>
      </c>
      <c r="C1930" s="38" t="s">
        <v>1274</v>
      </c>
      <c r="D1930" s="145"/>
      <c r="E1930" s="81"/>
    </row>
    <row r="1931" spans="1:5" hidden="1">
      <c r="A1931" s="176"/>
      <c r="B1931" s="51">
        <v>81661</v>
      </c>
      <c r="C1931" s="82" t="s">
        <v>1275</v>
      </c>
      <c r="D1931" s="51" t="s">
        <v>2930</v>
      </c>
      <c r="E1931" s="73"/>
    </row>
    <row r="1932" spans="1:5" hidden="1">
      <c r="A1932" s="176"/>
      <c r="B1932" s="51">
        <v>81662</v>
      </c>
      <c r="C1932" s="82" t="s">
        <v>1276</v>
      </c>
      <c r="D1932" s="51" t="s">
        <v>2930</v>
      </c>
      <c r="E1932" s="73"/>
    </row>
    <row r="1933" spans="1:5" hidden="1">
      <c r="A1933" s="176"/>
      <c r="B1933" s="51">
        <v>81663</v>
      </c>
      <c r="C1933" s="82" t="s">
        <v>1277</v>
      </c>
      <c r="D1933" s="51" t="s">
        <v>2930</v>
      </c>
      <c r="E1933" s="73"/>
    </row>
    <row r="1934" spans="1:5" hidden="1">
      <c r="A1934" s="176"/>
      <c r="B1934" s="51">
        <v>81664</v>
      </c>
      <c r="C1934" s="82" t="s">
        <v>1278</v>
      </c>
      <c r="D1934" s="51" t="s">
        <v>2930</v>
      </c>
      <c r="E1934" s="73"/>
    </row>
    <row r="1935" spans="1:5" hidden="1">
      <c r="A1935" s="176"/>
      <c r="B1935" s="51">
        <v>81665</v>
      </c>
      <c r="C1935" s="82" t="s">
        <v>1279</v>
      </c>
      <c r="D1935" s="51" t="s">
        <v>2930</v>
      </c>
      <c r="E1935" s="73"/>
    </row>
    <row r="1936" spans="1:5" hidden="1">
      <c r="A1936" s="176"/>
      <c r="B1936" s="51">
        <v>81666</v>
      </c>
      <c r="C1936" s="82" t="s">
        <v>1280</v>
      </c>
      <c r="D1936" s="51" t="s">
        <v>2930</v>
      </c>
      <c r="E1936" s="73"/>
    </row>
    <row r="1937" spans="1:5" hidden="1">
      <c r="A1937" s="176"/>
      <c r="B1937" s="51">
        <v>81679</v>
      </c>
      <c r="C1937" s="82" t="s">
        <v>1281</v>
      </c>
      <c r="D1937" s="51" t="s">
        <v>2930</v>
      </c>
      <c r="E1937" s="73"/>
    </row>
    <row r="1938" spans="1:5" hidden="1">
      <c r="A1938" s="176"/>
      <c r="B1938" s="51">
        <v>81680</v>
      </c>
      <c r="C1938" s="82" t="s">
        <v>1282</v>
      </c>
      <c r="D1938" s="51" t="s">
        <v>2930</v>
      </c>
      <c r="E1938" s="73"/>
    </row>
    <row r="1939" spans="1:5" hidden="1">
      <c r="A1939" s="176"/>
      <c r="B1939" s="51">
        <v>81681</v>
      </c>
      <c r="C1939" s="82" t="s">
        <v>1283</v>
      </c>
      <c r="D1939" s="51" t="s">
        <v>2930</v>
      </c>
      <c r="E1939" s="73"/>
    </row>
    <row r="1940" spans="1:5" hidden="1">
      <c r="A1940" s="96"/>
      <c r="B1940" s="51">
        <v>81690</v>
      </c>
      <c r="C1940" s="82" t="s">
        <v>1284</v>
      </c>
      <c r="D1940" s="51" t="s">
        <v>2930</v>
      </c>
      <c r="E1940" s="73"/>
    </row>
    <row r="1941" spans="1:5" hidden="1">
      <c r="A1941" s="176"/>
      <c r="B1941" s="51">
        <v>81691</v>
      </c>
      <c r="C1941" s="82" t="s">
        <v>1285</v>
      </c>
      <c r="D1941" s="51" t="s">
        <v>2930</v>
      </c>
      <c r="E1941" s="73"/>
    </row>
    <row r="1942" spans="1:5" hidden="1">
      <c r="A1942" s="176"/>
      <c r="B1942" s="51">
        <v>81695</v>
      </c>
      <c r="C1942" s="82" t="s">
        <v>1286</v>
      </c>
      <c r="D1942" s="51" t="s">
        <v>136</v>
      </c>
      <c r="E1942" s="73"/>
    </row>
    <row r="1943" spans="1:5" hidden="1">
      <c r="A1943" s="176"/>
      <c r="B1943" s="51">
        <v>81696</v>
      </c>
      <c r="C1943" s="82" t="s">
        <v>1287</v>
      </c>
      <c r="D1943" s="51" t="s">
        <v>136</v>
      </c>
      <c r="E1943" s="73"/>
    </row>
    <row r="1944" spans="1:5" hidden="1">
      <c r="A1944" s="176"/>
      <c r="B1944" s="51">
        <v>81697</v>
      </c>
      <c r="C1944" s="82" t="s">
        <v>1288</v>
      </c>
      <c r="D1944" s="51" t="s">
        <v>136</v>
      </c>
      <c r="E1944" s="73"/>
    </row>
    <row r="1945" spans="1:5">
      <c r="A1945" s="235"/>
      <c r="B1945" s="60">
        <v>81700</v>
      </c>
      <c r="C1945" s="38" t="s">
        <v>1255</v>
      </c>
      <c r="D1945" s="145"/>
      <c r="E1945" s="81"/>
    </row>
    <row r="1946" spans="1:5" hidden="1">
      <c r="A1946" s="96"/>
      <c r="B1946" s="51">
        <v>81701</v>
      </c>
      <c r="C1946" s="82" t="s">
        <v>1289</v>
      </c>
      <c r="D1946" s="51" t="s">
        <v>2930</v>
      </c>
      <c r="E1946" s="73"/>
    </row>
    <row r="1947" spans="1:5" hidden="1">
      <c r="A1947" s="96"/>
      <c r="B1947" s="51">
        <v>81702</v>
      </c>
      <c r="C1947" s="82" t="s">
        <v>1290</v>
      </c>
      <c r="D1947" s="51" t="s">
        <v>2930</v>
      </c>
      <c r="E1947" s="73"/>
    </row>
    <row r="1948" spans="1:5" hidden="1">
      <c r="A1948" s="96"/>
      <c r="B1948" s="51">
        <v>81730</v>
      </c>
      <c r="C1948" s="82" t="s">
        <v>1291</v>
      </c>
      <c r="D1948" s="51" t="s">
        <v>2930</v>
      </c>
      <c r="E1948" s="73"/>
    </row>
    <row r="1949" spans="1:5" hidden="1">
      <c r="A1949" s="96"/>
      <c r="B1949" s="51">
        <v>81731</v>
      </c>
      <c r="C1949" s="82" t="s">
        <v>1292</v>
      </c>
      <c r="D1949" s="51" t="s">
        <v>2930</v>
      </c>
      <c r="E1949" s="73"/>
    </row>
    <row r="1950" spans="1:5" hidden="1">
      <c r="A1950" s="96"/>
      <c r="B1950" s="51">
        <v>81732</v>
      </c>
      <c r="C1950" s="82" t="s">
        <v>1293</v>
      </c>
      <c r="D1950" s="51" t="s">
        <v>2930</v>
      </c>
      <c r="E1950" s="73"/>
    </row>
    <row r="1951" spans="1:5" hidden="1">
      <c r="A1951" s="96"/>
      <c r="B1951" s="51">
        <v>81733</v>
      </c>
      <c r="C1951" s="82" t="s">
        <v>1294</v>
      </c>
      <c r="D1951" s="51" t="s">
        <v>2930</v>
      </c>
      <c r="E1951" s="73"/>
    </row>
    <row r="1952" spans="1:5" hidden="1">
      <c r="A1952" s="96"/>
      <c r="B1952" s="51">
        <v>81734</v>
      </c>
      <c r="C1952" s="82" t="s">
        <v>1295</v>
      </c>
      <c r="D1952" s="51" t="s">
        <v>2930</v>
      </c>
      <c r="E1952" s="73"/>
    </row>
    <row r="1953" spans="1:5" hidden="1">
      <c r="A1953" s="176"/>
      <c r="B1953" s="51">
        <v>81735</v>
      </c>
      <c r="C1953" s="82" t="s">
        <v>1296</v>
      </c>
      <c r="D1953" s="51" t="s">
        <v>2930</v>
      </c>
      <c r="E1953" s="73"/>
    </row>
    <row r="1954" spans="1:5" hidden="1">
      <c r="A1954" s="176"/>
      <c r="B1954" s="51">
        <v>81736</v>
      </c>
      <c r="C1954" s="82" t="s">
        <v>1297</v>
      </c>
      <c r="D1954" s="51" t="s">
        <v>2930</v>
      </c>
      <c r="E1954" s="73"/>
    </row>
    <row r="1955" spans="1:5" hidden="1">
      <c r="A1955" s="176"/>
      <c r="B1955" s="51">
        <v>81737</v>
      </c>
      <c r="C1955" s="82" t="s">
        <v>1298</v>
      </c>
      <c r="D1955" s="51" t="s">
        <v>2930</v>
      </c>
      <c r="E1955" s="73"/>
    </row>
    <row r="1956" spans="1:5">
      <c r="A1956" s="235"/>
      <c r="B1956" s="60">
        <v>81750</v>
      </c>
      <c r="C1956" s="38" t="s">
        <v>1299</v>
      </c>
      <c r="D1956" s="145"/>
      <c r="E1956" s="81"/>
    </row>
    <row r="1957" spans="1:5">
      <c r="A1957" s="91" t="s">
        <v>3829</v>
      </c>
      <c r="B1957" s="56">
        <v>81751</v>
      </c>
      <c r="C1957" s="83" t="s">
        <v>1300</v>
      </c>
      <c r="D1957" s="56" t="s">
        <v>2930</v>
      </c>
      <c r="E1957" s="84">
        <f>ROUND((SUM(E1958:E1960)),2)</f>
        <v>17</v>
      </c>
    </row>
    <row r="1958" spans="1:5">
      <c r="A1958" s="93"/>
      <c r="B1958" s="99"/>
      <c r="C1958" s="104" t="s">
        <v>3271</v>
      </c>
      <c r="D1958" s="99" t="s">
        <v>2930</v>
      </c>
      <c r="E1958" s="113">
        <v>8</v>
      </c>
    </row>
    <row r="1959" spans="1:5">
      <c r="A1959" s="93"/>
      <c r="B1959" s="99"/>
      <c r="C1959" s="104" t="s">
        <v>3247</v>
      </c>
      <c r="D1959" s="99" t="s">
        <v>2930</v>
      </c>
      <c r="E1959" s="113">
        <v>8</v>
      </c>
    </row>
    <row r="1960" spans="1:5">
      <c r="A1960" s="93"/>
      <c r="B1960" s="99"/>
      <c r="C1960" s="104" t="s">
        <v>2524</v>
      </c>
      <c r="D1960" s="99" t="s">
        <v>2930</v>
      </c>
      <c r="E1960" s="113">
        <v>1</v>
      </c>
    </row>
    <row r="1961" spans="1:5">
      <c r="A1961" s="231"/>
      <c r="B1961" s="51"/>
      <c r="C1961" s="82"/>
      <c r="D1961" s="51"/>
      <c r="E1961" s="77"/>
    </row>
    <row r="1962" spans="1:5" hidden="1">
      <c r="A1962" s="231"/>
      <c r="B1962" s="51">
        <v>81752</v>
      </c>
      <c r="C1962" s="82" t="s">
        <v>1301</v>
      </c>
      <c r="D1962" s="51" t="s">
        <v>2930</v>
      </c>
      <c r="E1962" s="77"/>
    </row>
    <row r="1963" spans="1:5" hidden="1">
      <c r="A1963" s="231"/>
      <c r="B1963" s="51">
        <v>81760</v>
      </c>
      <c r="C1963" s="82" t="s">
        <v>1302</v>
      </c>
      <c r="D1963" s="51" t="s">
        <v>2930</v>
      </c>
      <c r="E1963" s="77"/>
    </row>
    <row r="1964" spans="1:5" hidden="1">
      <c r="A1964" s="231"/>
      <c r="B1964" s="51">
        <v>81761</v>
      </c>
      <c r="C1964" s="82" t="s">
        <v>1303</v>
      </c>
      <c r="D1964" s="51" t="s">
        <v>2930</v>
      </c>
      <c r="E1964" s="77"/>
    </row>
    <row r="1965" spans="1:5" hidden="1">
      <c r="A1965" s="231"/>
      <c r="B1965" s="51">
        <v>81770</v>
      </c>
      <c r="C1965" s="82" t="s">
        <v>1304</v>
      </c>
      <c r="D1965" s="51" t="s">
        <v>2930</v>
      </c>
      <c r="E1965" s="77"/>
    </row>
    <row r="1966" spans="1:5" hidden="1">
      <c r="A1966" s="231"/>
      <c r="B1966" s="51">
        <v>81771</v>
      </c>
      <c r="C1966" s="82" t="s">
        <v>1305</v>
      </c>
      <c r="D1966" s="51" t="s">
        <v>2930</v>
      </c>
      <c r="E1966" s="77"/>
    </row>
    <row r="1967" spans="1:5" hidden="1">
      <c r="A1967" s="231"/>
      <c r="B1967" s="51">
        <v>81778</v>
      </c>
      <c r="C1967" s="82" t="s">
        <v>1306</v>
      </c>
      <c r="D1967" s="51" t="s">
        <v>2930</v>
      </c>
      <c r="E1967" s="77"/>
    </row>
    <row r="1968" spans="1:5" hidden="1">
      <c r="A1968" s="231"/>
      <c r="B1968" s="51">
        <v>81779</v>
      </c>
      <c r="C1968" s="82" t="s">
        <v>1307</v>
      </c>
      <c r="D1968" s="51" t="s">
        <v>2930</v>
      </c>
      <c r="E1968" s="77"/>
    </row>
    <row r="1969" spans="1:5" hidden="1">
      <c r="A1969" s="231"/>
      <c r="B1969" s="51">
        <v>81783</v>
      </c>
      <c r="C1969" s="82" t="s">
        <v>1308</v>
      </c>
      <c r="D1969" s="51" t="s">
        <v>2930</v>
      </c>
      <c r="E1969" s="77"/>
    </row>
    <row r="1970" spans="1:5" hidden="1">
      <c r="A1970" s="231"/>
      <c r="B1970" s="51">
        <v>81784</v>
      </c>
      <c r="C1970" s="82" t="s">
        <v>1309</v>
      </c>
      <c r="D1970" s="51" t="s">
        <v>2930</v>
      </c>
      <c r="E1970" s="77"/>
    </row>
    <row r="1971" spans="1:5" hidden="1">
      <c r="A1971" s="231"/>
      <c r="B1971" s="51">
        <v>81785</v>
      </c>
      <c r="C1971" s="82" t="s">
        <v>1310</v>
      </c>
      <c r="D1971" s="51" t="s">
        <v>2930</v>
      </c>
      <c r="E1971" s="77"/>
    </row>
    <row r="1972" spans="1:5" hidden="1">
      <c r="A1972" s="231"/>
      <c r="B1972" s="51">
        <v>81786</v>
      </c>
      <c r="C1972" s="82" t="s">
        <v>1311</v>
      </c>
      <c r="D1972" s="51" t="s">
        <v>2930</v>
      </c>
      <c r="E1972" s="77"/>
    </row>
    <row r="1973" spans="1:5" hidden="1">
      <c r="A1973" s="91"/>
      <c r="B1973" s="51">
        <v>81790</v>
      </c>
      <c r="C1973" s="82" t="s">
        <v>1312</v>
      </c>
      <c r="D1973" s="51" t="s">
        <v>2930</v>
      </c>
      <c r="E1973" s="77"/>
    </row>
    <row r="1974" spans="1:5" hidden="1">
      <c r="A1974" s="231"/>
      <c r="B1974" s="51">
        <v>81791</v>
      </c>
      <c r="C1974" s="82" t="s">
        <v>1313</v>
      </c>
      <c r="D1974" s="51" t="s">
        <v>2930</v>
      </c>
      <c r="E1974" s="77"/>
    </row>
    <row r="1975" spans="1:5" hidden="1">
      <c r="A1975" s="231"/>
      <c r="B1975" s="51">
        <v>81792</v>
      </c>
      <c r="C1975" s="82" t="s">
        <v>1314</v>
      </c>
      <c r="D1975" s="51" t="s">
        <v>2930</v>
      </c>
      <c r="E1975" s="77"/>
    </row>
    <row r="1976" spans="1:5" hidden="1">
      <c r="A1976" s="231"/>
      <c r="B1976" s="51">
        <v>81793</v>
      </c>
      <c r="C1976" s="82" t="s">
        <v>1315</v>
      </c>
      <c r="D1976" s="51" t="s">
        <v>2930</v>
      </c>
      <c r="E1976" s="77"/>
    </row>
    <row r="1977" spans="1:5">
      <c r="A1977" s="234"/>
      <c r="B1977" s="60">
        <v>81810</v>
      </c>
      <c r="C1977" s="38" t="s">
        <v>1316</v>
      </c>
      <c r="D1977" s="145"/>
      <c r="E1977" s="79"/>
    </row>
    <row r="1978" spans="1:5" hidden="1">
      <c r="A1978" s="231"/>
      <c r="B1978" s="51">
        <v>81811</v>
      </c>
      <c r="C1978" s="82" t="s">
        <v>1317</v>
      </c>
      <c r="D1978" s="51" t="s">
        <v>2930</v>
      </c>
      <c r="E1978" s="77"/>
    </row>
    <row r="1979" spans="1:5" ht="26.4" hidden="1">
      <c r="A1979" s="231"/>
      <c r="B1979" s="51">
        <v>81815</v>
      </c>
      <c r="C1979" s="82" t="s">
        <v>1318</v>
      </c>
      <c r="D1979" s="51" t="s">
        <v>2930</v>
      </c>
      <c r="E1979" s="77"/>
    </row>
    <row r="1980" spans="1:5" hidden="1">
      <c r="A1980" s="231"/>
      <c r="B1980" s="51">
        <v>81819</v>
      </c>
      <c r="C1980" s="82" t="s">
        <v>1319</v>
      </c>
      <c r="D1980" s="51" t="s">
        <v>2930</v>
      </c>
      <c r="E1980" s="77"/>
    </row>
    <row r="1981" spans="1:5" hidden="1">
      <c r="A1981" s="231"/>
      <c r="B1981" s="51">
        <v>81822</v>
      </c>
      <c r="C1981" s="82" t="s">
        <v>1320</v>
      </c>
      <c r="D1981" s="51" t="s">
        <v>2930</v>
      </c>
      <c r="E1981" s="77"/>
    </row>
    <row r="1982" spans="1:5" ht="26.4" hidden="1">
      <c r="A1982" s="231"/>
      <c r="B1982" s="51">
        <v>81823</v>
      </c>
      <c r="C1982" s="82" t="s">
        <v>1321</v>
      </c>
      <c r="D1982" s="51" t="s">
        <v>2930</v>
      </c>
      <c r="E1982" s="77"/>
    </row>
    <row r="1983" spans="1:5" ht="26.4" hidden="1">
      <c r="A1983" s="91"/>
      <c r="B1983" s="51">
        <v>81824</v>
      </c>
      <c r="C1983" s="82" t="s">
        <v>1322</v>
      </c>
      <c r="D1983" s="51" t="s">
        <v>2930</v>
      </c>
      <c r="E1983" s="77"/>
    </row>
    <row r="1984" spans="1:5" hidden="1">
      <c r="A1984" s="91"/>
      <c r="B1984" s="51">
        <v>81825</v>
      </c>
      <c r="C1984" s="82" t="s">
        <v>1323</v>
      </c>
      <c r="D1984" s="51" t="s">
        <v>2930</v>
      </c>
      <c r="E1984" s="77"/>
    </row>
    <row r="1985" spans="1:5" ht="26.4" hidden="1">
      <c r="A1985" s="91"/>
      <c r="B1985" s="51">
        <v>81826</v>
      </c>
      <c r="C1985" s="82" t="s">
        <v>1324</v>
      </c>
      <c r="D1985" s="51" t="s">
        <v>2930</v>
      </c>
      <c r="E1985" s="77"/>
    </row>
    <row r="1986" spans="1:5" hidden="1">
      <c r="A1986" s="91"/>
      <c r="B1986" s="51">
        <v>81827</v>
      </c>
      <c r="C1986" s="82" t="s">
        <v>1325</v>
      </c>
      <c r="D1986" s="51" t="s">
        <v>2930</v>
      </c>
      <c r="E1986" s="77"/>
    </row>
    <row r="1987" spans="1:5" ht="26.4" hidden="1">
      <c r="A1987" s="91"/>
      <c r="B1987" s="51">
        <v>81828</v>
      </c>
      <c r="C1987" s="82" t="s">
        <v>1326</v>
      </c>
      <c r="D1987" s="51" t="s">
        <v>2930</v>
      </c>
      <c r="E1987" s="77"/>
    </row>
    <row r="1988" spans="1:5" ht="26.4" hidden="1">
      <c r="A1988" s="91"/>
      <c r="B1988" s="51">
        <v>81829</v>
      </c>
      <c r="C1988" s="82" t="s">
        <v>1327</v>
      </c>
      <c r="D1988" s="51" t="s">
        <v>12</v>
      </c>
      <c r="E1988" s="77"/>
    </row>
    <row r="1989" spans="1:5" ht="26.4" hidden="1">
      <c r="A1989" s="91"/>
      <c r="B1989" s="51">
        <v>81830</v>
      </c>
      <c r="C1989" s="82" t="s">
        <v>1328</v>
      </c>
      <c r="D1989" s="51" t="s">
        <v>30</v>
      </c>
      <c r="E1989" s="77"/>
    </row>
    <row r="1990" spans="1:5" ht="39.6" hidden="1">
      <c r="A1990" s="91"/>
      <c r="B1990" s="51">
        <v>81831</v>
      </c>
      <c r="C1990" s="82" t="s">
        <v>1329</v>
      </c>
      <c r="D1990" s="51" t="s">
        <v>12</v>
      </c>
      <c r="E1990" s="77"/>
    </row>
    <row r="1991" spans="1:5" ht="39.6" hidden="1">
      <c r="A1991" s="91"/>
      <c r="B1991" s="51">
        <v>81832</v>
      </c>
      <c r="C1991" s="82" t="s">
        <v>1330</v>
      </c>
      <c r="D1991" s="51" t="s">
        <v>12</v>
      </c>
      <c r="E1991" s="77"/>
    </row>
    <row r="1992" spans="1:5" ht="26.4" hidden="1">
      <c r="A1992" s="91"/>
      <c r="B1992" s="51">
        <v>81833</v>
      </c>
      <c r="C1992" s="82" t="s">
        <v>1331</v>
      </c>
      <c r="D1992" s="51" t="s">
        <v>30</v>
      </c>
      <c r="E1992" s="77"/>
    </row>
    <row r="1993" spans="1:5" hidden="1">
      <c r="A1993" s="91"/>
      <c r="B1993" s="51">
        <v>81834</v>
      </c>
      <c r="C1993" s="82" t="s">
        <v>1332</v>
      </c>
      <c r="D1993" s="51" t="s">
        <v>30</v>
      </c>
      <c r="E1993" s="77"/>
    </row>
    <row r="1994" spans="1:5" ht="26.4" hidden="1">
      <c r="A1994" s="91"/>
      <c r="B1994" s="51">
        <v>81835</v>
      </c>
      <c r="C1994" s="82" t="s">
        <v>1333</v>
      </c>
      <c r="D1994" s="51" t="s">
        <v>12</v>
      </c>
      <c r="E1994" s="77"/>
    </row>
    <row r="1995" spans="1:5" ht="26.4" hidden="1">
      <c r="A1995" s="91"/>
      <c r="B1995" s="51">
        <v>81840</v>
      </c>
      <c r="C1995" s="82" t="s">
        <v>1334</v>
      </c>
      <c r="D1995" s="51" t="s">
        <v>2930</v>
      </c>
      <c r="E1995" s="77"/>
    </row>
    <row r="1996" spans="1:5" ht="26.4" hidden="1">
      <c r="A1996" s="231"/>
      <c r="B1996" s="51">
        <v>81841</v>
      </c>
      <c r="C1996" s="82" t="s">
        <v>1335</v>
      </c>
      <c r="D1996" s="51" t="s">
        <v>2930</v>
      </c>
      <c r="E1996" s="77"/>
    </row>
    <row r="1997" spans="1:5" ht="26.4" hidden="1">
      <c r="A1997" s="231"/>
      <c r="B1997" s="51">
        <v>81842</v>
      </c>
      <c r="C1997" s="82" t="s">
        <v>1336</v>
      </c>
      <c r="D1997" s="51" t="s">
        <v>2930</v>
      </c>
      <c r="E1997" s="77"/>
    </row>
    <row r="1998" spans="1:5" ht="26.4" hidden="1">
      <c r="A1998" s="231"/>
      <c r="B1998" s="51">
        <v>81846</v>
      </c>
      <c r="C1998" s="82" t="s">
        <v>1337</v>
      </c>
      <c r="D1998" s="51" t="s">
        <v>2930</v>
      </c>
      <c r="E1998" s="77"/>
    </row>
    <row r="1999" spans="1:5" ht="26.4" hidden="1">
      <c r="A1999" s="231"/>
      <c r="B1999" s="51">
        <v>81850</v>
      </c>
      <c r="C1999" s="82" t="s">
        <v>1338</v>
      </c>
      <c r="D1999" s="51" t="s">
        <v>2930</v>
      </c>
      <c r="E1999" s="77"/>
    </row>
    <row r="2000" spans="1:5" ht="26.4" hidden="1">
      <c r="A2000" s="231"/>
      <c r="B2000" s="51">
        <v>81851</v>
      </c>
      <c r="C2000" s="82" t="s">
        <v>1339</v>
      </c>
      <c r="D2000" s="51" t="s">
        <v>2930</v>
      </c>
      <c r="E2000" s="77"/>
    </row>
    <row r="2001" spans="1:5" ht="26.4" hidden="1">
      <c r="A2001" s="231"/>
      <c r="B2001" s="51">
        <v>81852</v>
      </c>
      <c r="C2001" s="82" t="s">
        <v>1340</v>
      </c>
      <c r="D2001" s="51" t="s">
        <v>2930</v>
      </c>
      <c r="E2001" s="77"/>
    </row>
    <row r="2002" spans="1:5" ht="26.4" hidden="1">
      <c r="A2002" s="231"/>
      <c r="B2002" s="51">
        <v>81854</v>
      </c>
      <c r="C2002" s="82" t="s">
        <v>1341</v>
      </c>
      <c r="D2002" s="51" t="s">
        <v>2930</v>
      </c>
      <c r="E2002" s="77"/>
    </row>
    <row r="2003" spans="1:5" hidden="1">
      <c r="A2003" s="231"/>
      <c r="B2003" s="51">
        <v>81860</v>
      </c>
      <c r="C2003" s="82" t="s">
        <v>1342</v>
      </c>
      <c r="D2003" s="51" t="s">
        <v>2930</v>
      </c>
      <c r="E2003" s="77"/>
    </row>
    <row r="2004" spans="1:5" hidden="1">
      <c r="A2004" s="231"/>
      <c r="B2004" s="51">
        <v>81861</v>
      </c>
      <c r="C2004" s="82" t="s">
        <v>1343</v>
      </c>
      <c r="D2004" s="51" t="s">
        <v>2930</v>
      </c>
      <c r="E2004" s="77"/>
    </row>
    <row r="2005" spans="1:5" hidden="1">
      <c r="A2005" s="231"/>
      <c r="B2005" s="51">
        <v>81865</v>
      </c>
      <c r="C2005" s="82" t="s">
        <v>1344</v>
      </c>
      <c r="D2005" s="51" t="s">
        <v>2930</v>
      </c>
      <c r="E2005" s="77"/>
    </row>
    <row r="2006" spans="1:5" hidden="1">
      <c r="A2006" s="231"/>
      <c r="B2006" s="51">
        <v>81866</v>
      </c>
      <c r="C2006" s="82" t="s">
        <v>1345</v>
      </c>
      <c r="D2006" s="51" t="s">
        <v>2930</v>
      </c>
      <c r="E2006" s="77"/>
    </row>
    <row r="2007" spans="1:5" hidden="1">
      <c r="A2007" s="231"/>
      <c r="B2007" s="51">
        <v>81867</v>
      </c>
      <c r="C2007" s="82" t="s">
        <v>1346</v>
      </c>
      <c r="D2007" s="51" t="s">
        <v>2930</v>
      </c>
      <c r="E2007" s="77"/>
    </row>
    <row r="2008" spans="1:5" hidden="1">
      <c r="A2008" s="231"/>
      <c r="B2008" s="51">
        <v>81868</v>
      </c>
      <c r="C2008" s="82" t="s">
        <v>1347</v>
      </c>
      <c r="D2008" s="51" t="s">
        <v>2930</v>
      </c>
      <c r="E2008" s="77"/>
    </row>
    <row r="2009" spans="1:5" hidden="1">
      <c r="A2009" s="231"/>
      <c r="B2009" s="51">
        <v>81869</v>
      </c>
      <c r="C2009" s="82" t="s">
        <v>1348</v>
      </c>
      <c r="D2009" s="51" t="s">
        <v>2930</v>
      </c>
      <c r="E2009" s="77"/>
    </row>
    <row r="2010" spans="1:5" hidden="1">
      <c r="A2010" s="231"/>
      <c r="B2010" s="51">
        <v>81874</v>
      </c>
      <c r="C2010" s="82" t="s">
        <v>1349</v>
      </c>
      <c r="D2010" s="51" t="s">
        <v>2930</v>
      </c>
      <c r="E2010" s="77"/>
    </row>
    <row r="2011" spans="1:5" ht="26.4" hidden="1">
      <c r="A2011" s="231"/>
      <c r="B2011" s="51">
        <v>81880</v>
      </c>
      <c r="C2011" s="82" t="s">
        <v>1350</v>
      </c>
      <c r="D2011" s="51" t="s">
        <v>2930</v>
      </c>
      <c r="E2011" s="77"/>
    </row>
    <row r="2012" spans="1:5" ht="26.4" hidden="1">
      <c r="A2012" s="231"/>
      <c r="B2012" s="51">
        <v>81881</v>
      </c>
      <c r="C2012" s="82" t="s">
        <v>1351</v>
      </c>
      <c r="D2012" s="51" t="s">
        <v>2930</v>
      </c>
      <c r="E2012" s="77"/>
    </row>
    <row r="2013" spans="1:5" ht="26.4" hidden="1">
      <c r="A2013" s="231"/>
      <c r="B2013" s="51">
        <v>81882</v>
      </c>
      <c r="C2013" s="82" t="s">
        <v>1352</v>
      </c>
      <c r="D2013" s="51" t="s">
        <v>2930</v>
      </c>
      <c r="E2013" s="77"/>
    </row>
    <row r="2014" spans="1:5" ht="26.4" hidden="1">
      <c r="A2014" s="231"/>
      <c r="B2014" s="51">
        <v>81883</v>
      </c>
      <c r="C2014" s="82" t="s">
        <v>1353</v>
      </c>
      <c r="D2014" s="51" t="s">
        <v>2930</v>
      </c>
      <c r="E2014" s="77"/>
    </row>
    <row r="2015" spans="1:5" hidden="1">
      <c r="A2015" s="231"/>
      <c r="B2015" s="51">
        <v>81885</v>
      </c>
      <c r="C2015" s="82" t="s">
        <v>1354</v>
      </c>
      <c r="D2015" s="51" t="s">
        <v>2930</v>
      </c>
      <c r="E2015" s="77"/>
    </row>
    <row r="2016" spans="1:5" hidden="1">
      <c r="A2016" s="231"/>
      <c r="B2016" s="51">
        <v>81888</v>
      </c>
      <c r="C2016" s="82" t="s">
        <v>1355</v>
      </c>
      <c r="D2016" s="51" t="s">
        <v>2930</v>
      </c>
      <c r="E2016" s="77"/>
    </row>
    <row r="2017" spans="1:5" hidden="1">
      <c r="A2017" s="231"/>
      <c r="B2017" s="51">
        <v>81889</v>
      </c>
      <c r="C2017" s="82" t="s">
        <v>1356</v>
      </c>
      <c r="D2017" s="51" t="s">
        <v>2930</v>
      </c>
      <c r="E2017" s="77"/>
    </row>
    <row r="2018" spans="1:5" hidden="1">
      <c r="A2018" s="231"/>
      <c r="B2018" s="51">
        <v>81890</v>
      </c>
      <c r="C2018" s="82" t="s">
        <v>1357</v>
      </c>
      <c r="D2018" s="51" t="s">
        <v>2930</v>
      </c>
      <c r="E2018" s="77"/>
    </row>
    <row r="2019" spans="1:5" hidden="1">
      <c r="A2019" s="231"/>
      <c r="B2019" s="51">
        <v>81891</v>
      </c>
      <c r="C2019" s="82" t="s">
        <v>1358</v>
      </c>
      <c r="D2019" s="51" t="s">
        <v>2930</v>
      </c>
      <c r="E2019" s="77"/>
    </row>
    <row r="2020" spans="1:5" hidden="1">
      <c r="A2020" s="231"/>
      <c r="B2020" s="51">
        <v>81892</v>
      </c>
      <c r="C2020" s="82" t="s">
        <v>1359</v>
      </c>
      <c r="D2020" s="51" t="s">
        <v>2930</v>
      </c>
      <c r="E2020" s="77"/>
    </row>
    <row r="2021" spans="1:5" hidden="1">
      <c r="A2021" s="231"/>
      <c r="B2021" s="51">
        <v>81894</v>
      </c>
      <c r="C2021" s="82" t="s">
        <v>1360</v>
      </c>
      <c r="D2021" s="51" t="s">
        <v>2930</v>
      </c>
      <c r="E2021" s="77"/>
    </row>
    <row r="2022" spans="1:5">
      <c r="A2022" s="234"/>
      <c r="B2022" s="60">
        <v>81920</v>
      </c>
      <c r="C2022" s="38" t="s">
        <v>1182</v>
      </c>
      <c r="D2022" s="145"/>
      <c r="E2022" s="79"/>
    </row>
    <row r="2023" spans="1:5" hidden="1">
      <c r="A2023" s="231"/>
      <c r="B2023" s="51">
        <v>81921</v>
      </c>
      <c r="C2023" s="82" t="s">
        <v>1361</v>
      </c>
      <c r="D2023" s="51" t="s">
        <v>2930</v>
      </c>
      <c r="E2023" s="77"/>
    </row>
    <row r="2024" spans="1:5" hidden="1">
      <c r="A2024" s="231"/>
      <c r="B2024" s="51">
        <v>81922</v>
      </c>
      <c r="C2024" s="82" t="s">
        <v>1362</v>
      </c>
      <c r="D2024" s="51" t="s">
        <v>2930</v>
      </c>
      <c r="E2024" s="77"/>
    </row>
    <row r="2025" spans="1:5" hidden="1">
      <c r="A2025" s="231"/>
      <c r="B2025" s="51">
        <v>81923</v>
      </c>
      <c r="C2025" s="82" t="s">
        <v>1363</v>
      </c>
      <c r="D2025" s="51" t="s">
        <v>2930</v>
      </c>
      <c r="E2025" s="77"/>
    </row>
    <row r="2026" spans="1:5" hidden="1">
      <c r="A2026" s="231"/>
      <c r="B2026" s="51">
        <v>81924</v>
      </c>
      <c r="C2026" s="82" t="s">
        <v>1364</v>
      </c>
      <c r="D2026" s="51" t="s">
        <v>2930</v>
      </c>
      <c r="E2026" s="77"/>
    </row>
    <row r="2027" spans="1:5" hidden="1">
      <c r="A2027" s="231"/>
      <c r="B2027" s="51">
        <v>81927</v>
      </c>
      <c r="C2027" s="82" t="s">
        <v>1365</v>
      </c>
      <c r="D2027" s="51" t="s">
        <v>2930</v>
      </c>
      <c r="E2027" s="77"/>
    </row>
    <row r="2028" spans="1:5" hidden="1">
      <c r="A2028" s="231"/>
      <c r="B2028" s="51">
        <v>81928</v>
      </c>
      <c r="C2028" s="82" t="s">
        <v>1366</v>
      </c>
      <c r="D2028" s="51" t="s">
        <v>2930</v>
      </c>
      <c r="E2028" s="77"/>
    </row>
    <row r="2029" spans="1:5" hidden="1">
      <c r="A2029" s="231"/>
      <c r="B2029" s="51">
        <v>81935</v>
      </c>
      <c r="C2029" s="82" t="s">
        <v>1367</v>
      </c>
      <c r="D2029" s="51" t="s">
        <v>2930</v>
      </c>
      <c r="E2029" s="77"/>
    </row>
    <row r="2030" spans="1:5" hidden="1">
      <c r="A2030" s="91"/>
      <c r="B2030" s="51">
        <v>81936</v>
      </c>
      <c r="C2030" s="82" t="s">
        <v>1368</v>
      </c>
      <c r="D2030" s="51" t="s">
        <v>2930</v>
      </c>
      <c r="E2030" s="77"/>
    </row>
    <row r="2031" spans="1:5" hidden="1">
      <c r="A2031" s="91"/>
      <c r="B2031" s="51">
        <v>81937</v>
      </c>
      <c r="C2031" s="82" t="s">
        <v>1369</v>
      </c>
      <c r="D2031" s="51" t="s">
        <v>2930</v>
      </c>
      <c r="E2031" s="77"/>
    </row>
    <row r="2032" spans="1:5" hidden="1">
      <c r="A2032" s="231"/>
      <c r="B2032" s="51">
        <v>81938</v>
      </c>
      <c r="C2032" s="82" t="s">
        <v>1370</v>
      </c>
      <c r="D2032" s="51" t="s">
        <v>2930</v>
      </c>
      <c r="E2032" s="77"/>
    </row>
    <row r="2033" spans="1:5" hidden="1">
      <c r="A2033" s="231"/>
      <c r="B2033" s="51">
        <v>81946</v>
      </c>
      <c r="C2033" s="82" t="s">
        <v>1371</v>
      </c>
      <c r="D2033" s="51" t="s">
        <v>2930</v>
      </c>
      <c r="E2033" s="77"/>
    </row>
    <row r="2034" spans="1:5">
      <c r="A2034" s="234"/>
      <c r="B2034" s="60">
        <v>81960</v>
      </c>
      <c r="C2034" s="38" t="s">
        <v>1372</v>
      </c>
      <c r="D2034" s="145"/>
      <c r="E2034" s="79"/>
    </row>
    <row r="2035" spans="1:5" hidden="1">
      <c r="A2035" s="91"/>
      <c r="B2035" s="51">
        <v>81961</v>
      </c>
      <c r="C2035" s="82" t="s">
        <v>1373</v>
      </c>
      <c r="D2035" s="51" t="s">
        <v>2930</v>
      </c>
      <c r="E2035" s="77"/>
    </row>
    <row r="2036" spans="1:5" hidden="1">
      <c r="A2036" s="231"/>
      <c r="B2036" s="51">
        <v>81965</v>
      </c>
      <c r="C2036" s="82" t="s">
        <v>1374</v>
      </c>
      <c r="D2036" s="51" t="s">
        <v>2930</v>
      </c>
      <c r="E2036" s="77"/>
    </row>
    <row r="2037" spans="1:5" hidden="1">
      <c r="A2037" s="231"/>
      <c r="B2037" s="51">
        <v>81970</v>
      </c>
      <c r="C2037" s="82" t="s">
        <v>1375</v>
      </c>
      <c r="D2037" s="51" t="s">
        <v>2930</v>
      </c>
      <c r="E2037" s="77"/>
    </row>
    <row r="2038" spans="1:5" hidden="1">
      <c r="A2038" s="231"/>
      <c r="B2038" s="51">
        <v>81971</v>
      </c>
      <c r="C2038" s="82" t="s">
        <v>1376</v>
      </c>
      <c r="D2038" s="51" t="s">
        <v>2930</v>
      </c>
      <c r="E2038" s="77"/>
    </row>
    <row r="2039" spans="1:5" hidden="1">
      <c r="A2039" s="231"/>
      <c r="B2039" s="51">
        <v>81972</v>
      </c>
      <c r="C2039" s="82" t="s">
        <v>1377</v>
      </c>
      <c r="D2039" s="51" t="s">
        <v>2930</v>
      </c>
      <c r="E2039" s="77"/>
    </row>
    <row r="2040" spans="1:5" hidden="1">
      <c r="A2040" s="231"/>
      <c r="B2040" s="51">
        <v>81973</v>
      </c>
      <c r="C2040" s="82" t="s">
        <v>1378</v>
      </c>
      <c r="D2040" s="51" t="s">
        <v>2930</v>
      </c>
      <c r="E2040" s="77"/>
    </row>
    <row r="2041" spans="1:5" hidden="1">
      <c r="A2041" s="231"/>
      <c r="B2041" s="51">
        <v>81974</v>
      </c>
      <c r="C2041" s="82" t="s">
        <v>1379</v>
      </c>
      <c r="D2041" s="51" t="s">
        <v>2930</v>
      </c>
      <c r="E2041" s="77"/>
    </row>
    <row r="2042" spans="1:5" hidden="1">
      <c r="A2042" s="231"/>
      <c r="B2042" s="51">
        <v>81975</v>
      </c>
      <c r="C2042" s="82" t="s">
        <v>1380</v>
      </c>
      <c r="D2042" s="51" t="s">
        <v>2930</v>
      </c>
      <c r="E2042" s="77"/>
    </row>
    <row r="2043" spans="1:5" hidden="1">
      <c r="A2043" s="231"/>
      <c r="B2043" s="51">
        <v>81981</v>
      </c>
      <c r="C2043" s="82" t="s">
        <v>1381</v>
      </c>
      <c r="D2043" s="51" t="s">
        <v>2930</v>
      </c>
      <c r="E2043" s="77"/>
    </row>
    <row r="2044" spans="1:5">
      <c r="A2044" s="234"/>
      <c r="B2044" s="60">
        <v>82000</v>
      </c>
      <c r="C2044" s="38" t="s">
        <v>1382</v>
      </c>
      <c r="D2044" s="145"/>
      <c r="E2044" s="79"/>
    </row>
    <row r="2045" spans="1:5" hidden="1">
      <c r="A2045" s="231"/>
      <c r="B2045" s="51">
        <v>82001</v>
      </c>
      <c r="C2045" s="82" t="s">
        <v>1383</v>
      </c>
      <c r="D2045" s="51" t="s">
        <v>2930</v>
      </c>
      <c r="E2045" s="77"/>
    </row>
    <row r="2046" spans="1:5" hidden="1">
      <c r="A2046" s="231"/>
      <c r="B2046" s="51">
        <v>82002</v>
      </c>
      <c r="C2046" s="82" t="s">
        <v>1384</v>
      </c>
      <c r="D2046" s="51" t="s">
        <v>2930</v>
      </c>
      <c r="E2046" s="77"/>
    </row>
    <row r="2047" spans="1:5" hidden="1">
      <c r="A2047" s="231"/>
      <c r="B2047" s="51">
        <v>82003</v>
      </c>
      <c r="C2047" s="82" t="s">
        <v>1385</v>
      </c>
      <c r="D2047" s="51" t="s">
        <v>2930</v>
      </c>
      <c r="E2047" s="77"/>
    </row>
    <row r="2048" spans="1:5" hidden="1">
      <c r="A2048" s="231"/>
      <c r="B2048" s="51">
        <v>82004</v>
      </c>
      <c r="C2048" s="82" t="s">
        <v>1386</v>
      </c>
      <c r="D2048" s="51" t="s">
        <v>2930</v>
      </c>
      <c r="E2048" s="77"/>
    </row>
    <row r="2049" spans="1:5">
      <c r="A2049" s="234"/>
      <c r="B2049" s="60">
        <v>82050</v>
      </c>
      <c r="C2049" s="38" t="s">
        <v>1387</v>
      </c>
      <c r="D2049" s="145"/>
      <c r="E2049" s="79"/>
    </row>
    <row r="2050" spans="1:5" hidden="1">
      <c r="A2050" s="231"/>
      <c r="B2050" s="51">
        <v>82051</v>
      </c>
      <c r="C2050" s="82" t="s">
        <v>1388</v>
      </c>
      <c r="D2050" s="51" t="s">
        <v>2930</v>
      </c>
      <c r="E2050" s="77"/>
    </row>
    <row r="2051" spans="1:5" hidden="1">
      <c r="A2051" s="231"/>
      <c r="B2051" s="51">
        <v>82052</v>
      </c>
      <c r="C2051" s="82" t="s">
        <v>1389</v>
      </c>
      <c r="D2051" s="51" t="s">
        <v>2930</v>
      </c>
      <c r="E2051" s="77"/>
    </row>
    <row r="2052" spans="1:5" ht="26.4" hidden="1">
      <c r="A2052" s="231"/>
      <c r="B2052" s="51">
        <v>82053</v>
      </c>
      <c r="C2052" s="82" t="s">
        <v>1390</v>
      </c>
      <c r="D2052" s="51" t="s">
        <v>2930</v>
      </c>
      <c r="E2052" s="77"/>
    </row>
    <row r="2053" spans="1:5" ht="26.4" hidden="1">
      <c r="A2053" s="231"/>
      <c r="B2053" s="51">
        <v>82054</v>
      </c>
      <c r="C2053" s="82" t="s">
        <v>1391</v>
      </c>
      <c r="D2053" s="51" t="s">
        <v>2930</v>
      </c>
      <c r="E2053" s="77"/>
    </row>
    <row r="2054" spans="1:5" ht="26.4">
      <c r="A2054" s="91" t="s">
        <v>3830</v>
      </c>
      <c r="B2054" s="56">
        <v>82055</v>
      </c>
      <c r="C2054" s="83" t="s">
        <v>1392</v>
      </c>
      <c r="D2054" s="56" t="s">
        <v>2930</v>
      </c>
      <c r="E2054" s="84">
        <f>ROUND((E2055+E2056+E2057),2)</f>
        <v>5</v>
      </c>
    </row>
    <row r="2055" spans="1:5">
      <c r="A2055" s="91"/>
      <c r="B2055" s="56"/>
      <c r="C2055" s="104" t="s">
        <v>3271</v>
      </c>
      <c r="D2055" s="99" t="s">
        <v>2930</v>
      </c>
      <c r="E2055" s="113">
        <v>2</v>
      </c>
    </row>
    <row r="2056" spans="1:5">
      <c r="A2056" s="91"/>
      <c r="B2056" s="56"/>
      <c r="C2056" s="104" t="s">
        <v>3263</v>
      </c>
      <c r="D2056" s="99" t="s">
        <v>2930</v>
      </c>
      <c r="E2056" s="113">
        <v>2</v>
      </c>
    </row>
    <row r="2057" spans="1:5">
      <c r="A2057" s="91"/>
      <c r="B2057" s="56"/>
      <c r="C2057" s="104" t="s">
        <v>2524</v>
      </c>
      <c r="D2057" s="99" t="s">
        <v>2930</v>
      </c>
      <c r="E2057" s="113">
        <v>1</v>
      </c>
    </row>
    <row r="2058" spans="1:5">
      <c r="A2058" s="231"/>
      <c r="B2058" s="51"/>
      <c r="C2058" s="82"/>
      <c r="D2058" s="51"/>
      <c r="E2058" s="77"/>
    </row>
    <row r="2059" spans="1:5" hidden="1">
      <c r="A2059" s="231"/>
      <c r="B2059" s="51">
        <v>82070</v>
      </c>
      <c r="C2059" s="82" t="s">
        <v>1393</v>
      </c>
      <c r="D2059" s="51" t="s">
        <v>2930</v>
      </c>
      <c r="E2059" s="77"/>
    </row>
    <row r="2060" spans="1:5" hidden="1">
      <c r="A2060" s="231"/>
      <c r="B2060" s="51">
        <v>82071</v>
      </c>
      <c r="C2060" s="82" t="s">
        <v>1394</v>
      </c>
      <c r="D2060" s="51" t="s">
        <v>2930</v>
      </c>
      <c r="E2060" s="77"/>
    </row>
    <row r="2061" spans="1:5" hidden="1">
      <c r="A2061" s="91"/>
      <c r="B2061" s="51">
        <v>82072</v>
      </c>
      <c r="C2061" s="82" t="s">
        <v>1395</v>
      </c>
      <c r="D2061" s="51" t="s">
        <v>2930</v>
      </c>
      <c r="E2061" s="77"/>
    </row>
    <row r="2062" spans="1:5">
      <c r="A2062" s="234"/>
      <c r="B2062" s="59">
        <v>82100</v>
      </c>
      <c r="C2062" s="36" t="s">
        <v>1396</v>
      </c>
      <c r="D2062" s="144"/>
      <c r="E2062" s="79"/>
    </row>
    <row r="2063" spans="1:5" hidden="1">
      <c r="A2063" s="231"/>
      <c r="B2063" s="51">
        <v>82101</v>
      </c>
      <c r="C2063" s="82" t="s">
        <v>1397</v>
      </c>
      <c r="D2063" s="51" t="s">
        <v>2930</v>
      </c>
      <c r="E2063" s="77"/>
    </row>
    <row r="2064" spans="1:5" hidden="1">
      <c r="A2064" s="231"/>
      <c r="B2064" s="51">
        <v>82102</v>
      </c>
      <c r="C2064" s="82" t="s">
        <v>1398</v>
      </c>
      <c r="D2064" s="51" t="s">
        <v>2930</v>
      </c>
      <c r="E2064" s="77"/>
    </row>
    <row r="2065" spans="1:5" hidden="1">
      <c r="A2065" s="231"/>
      <c r="B2065" s="51">
        <v>82103</v>
      </c>
      <c r="C2065" s="82" t="s">
        <v>1399</v>
      </c>
      <c r="D2065" s="51" t="s">
        <v>2930</v>
      </c>
      <c r="E2065" s="77"/>
    </row>
    <row r="2066" spans="1:5">
      <c r="A2066" s="234"/>
      <c r="B2066" s="60">
        <v>82150</v>
      </c>
      <c r="C2066" s="38" t="s">
        <v>1400</v>
      </c>
      <c r="D2066" s="145"/>
      <c r="E2066" s="79"/>
    </row>
    <row r="2067" spans="1:5" hidden="1">
      <c r="A2067" s="231"/>
      <c r="B2067" s="51">
        <v>82151</v>
      </c>
      <c r="C2067" s="82" t="s">
        <v>1401</v>
      </c>
      <c r="D2067" s="51" t="s">
        <v>2930</v>
      </c>
      <c r="E2067" s="77"/>
    </row>
    <row r="2068" spans="1:5" hidden="1">
      <c r="A2068" s="231"/>
      <c r="B2068" s="51">
        <v>82153</v>
      </c>
      <c r="C2068" s="82" t="s">
        <v>1402</v>
      </c>
      <c r="D2068" s="51" t="s">
        <v>2930</v>
      </c>
      <c r="E2068" s="77"/>
    </row>
    <row r="2069" spans="1:5" hidden="1">
      <c r="A2069" s="231"/>
      <c r="B2069" s="51">
        <v>82157</v>
      </c>
      <c r="C2069" s="82" t="s">
        <v>1403</v>
      </c>
      <c r="D2069" s="51" t="s">
        <v>2930</v>
      </c>
      <c r="E2069" s="77"/>
    </row>
    <row r="2070" spans="1:5" hidden="1">
      <c r="A2070" s="231"/>
      <c r="B2070" s="51">
        <v>82158</v>
      </c>
      <c r="C2070" s="82" t="s">
        <v>1404</v>
      </c>
      <c r="D2070" s="51" t="s">
        <v>2930</v>
      </c>
      <c r="E2070" s="77"/>
    </row>
    <row r="2071" spans="1:5">
      <c r="A2071" s="234"/>
      <c r="B2071" s="60">
        <v>82200</v>
      </c>
      <c r="C2071" s="38" t="s">
        <v>1215</v>
      </c>
      <c r="D2071" s="145"/>
      <c r="E2071" s="79"/>
    </row>
    <row r="2072" spans="1:5" hidden="1">
      <c r="A2072" s="91"/>
      <c r="B2072" s="51">
        <v>82201</v>
      </c>
      <c r="C2072" s="82" t="s">
        <v>1405</v>
      </c>
      <c r="D2072" s="51" t="s">
        <v>2930</v>
      </c>
      <c r="E2072" s="77"/>
    </row>
    <row r="2073" spans="1:5" hidden="1">
      <c r="A2073" s="91"/>
      <c r="B2073" s="51">
        <v>82220</v>
      </c>
      <c r="C2073" s="82" t="s">
        <v>1406</v>
      </c>
      <c r="D2073" s="51" t="s">
        <v>2930</v>
      </c>
      <c r="E2073" s="77"/>
    </row>
    <row r="2074" spans="1:5" hidden="1">
      <c r="A2074" s="91"/>
      <c r="B2074" s="51">
        <v>82230</v>
      </c>
      <c r="C2074" s="82" t="s">
        <v>1407</v>
      </c>
      <c r="D2074" s="51" t="s">
        <v>2930</v>
      </c>
      <c r="E2074" s="77"/>
    </row>
    <row r="2075" spans="1:5" hidden="1">
      <c r="A2075" s="91"/>
      <c r="B2075" s="51">
        <v>82231</v>
      </c>
      <c r="C2075" s="82" t="s">
        <v>1408</v>
      </c>
      <c r="D2075" s="51" t="s">
        <v>2930</v>
      </c>
      <c r="E2075" s="77"/>
    </row>
    <row r="2076" spans="1:5" hidden="1">
      <c r="A2076" s="91"/>
      <c r="B2076" s="51">
        <v>82232</v>
      </c>
      <c r="C2076" s="82" t="s">
        <v>1409</v>
      </c>
      <c r="D2076" s="51" t="s">
        <v>2930</v>
      </c>
      <c r="E2076" s="77"/>
    </row>
    <row r="2077" spans="1:5" hidden="1">
      <c r="A2077" s="91"/>
      <c r="B2077" s="51">
        <v>82233</v>
      </c>
      <c r="C2077" s="82" t="s">
        <v>1410</v>
      </c>
      <c r="D2077" s="51" t="s">
        <v>2930</v>
      </c>
      <c r="E2077" s="77"/>
    </row>
    <row r="2078" spans="1:5" hidden="1">
      <c r="A2078" s="91"/>
      <c r="B2078" s="51">
        <v>82234</v>
      </c>
      <c r="C2078" s="82" t="s">
        <v>1411</v>
      </c>
      <c r="D2078" s="51" t="s">
        <v>2930</v>
      </c>
      <c r="E2078" s="77"/>
    </row>
    <row r="2079" spans="1:5" hidden="1">
      <c r="A2079" s="231"/>
      <c r="B2079" s="51">
        <v>82235</v>
      </c>
      <c r="C2079" s="82" t="s">
        <v>1412</v>
      </c>
      <c r="D2079" s="51" t="s">
        <v>2930</v>
      </c>
      <c r="E2079" s="77"/>
    </row>
    <row r="2080" spans="1:5">
      <c r="A2080" s="234"/>
      <c r="B2080" s="60">
        <v>82300</v>
      </c>
      <c r="C2080" s="38" t="s">
        <v>1413</v>
      </c>
      <c r="D2080" s="145"/>
      <c r="E2080" s="79"/>
    </row>
    <row r="2081" spans="1:5" hidden="1">
      <c r="A2081" s="231"/>
      <c r="B2081" s="51">
        <v>82301</v>
      </c>
      <c r="C2081" s="82" t="s">
        <v>1414</v>
      </c>
      <c r="D2081" s="51" t="s">
        <v>39</v>
      </c>
      <c r="E2081" s="77"/>
    </row>
    <row r="2082" spans="1:5" hidden="1">
      <c r="A2082" s="231"/>
      <c r="B2082" s="51">
        <v>82302</v>
      </c>
      <c r="C2082" s="82" t="s">
        <v>1415</v>
      </c>
      <c r="D2082" s="51" t="s">
        <v>39</v>
      </c>
      <c r="E2082" s="77"/>
    </row>
    <row r="2083" spans="1:5" hidden="1">
      <c r="A2083" s="91"/>
      <c r="B2083" s="51">
        <v>82303</v>
      </c>
      <c r="C2083" s="82" t="s">
        <v>1416</v>
      </c>
      <c r="D2083" s="51" t="s">
        <v>39</v>
      </c>
      <c r="E2083" s="77"/>
    </row>
    <row r="2084" spans="1:5" hidden="1">
      <c r="A2084" s="91"/>
      <c r="B2084" s="51">
        <v>82304</v>
      </c>
      <c r="C2084" s="82" t="s">
        <v>1417</v>
      </c>
      <c r="D2084" s="51" t="s">
        <v>39</v>
      </c>
      <c r="E2084" s="77"/>
    </row>
    <row r="2085" spans="1:5" hidden="1">
      <c r="A2085" s="91"/>
      <c r="B2085" s="51">
        <v>82331</v>
      </c>
      <c r="C2085" s="82" t="s">
        <v>1418</v>
      </c>
      <c r="D2085" s="51" t="s">
        <v>136</v>
      </c>
      <c r="E2085" s="77"/>
    </row>
    <row r="2086" spans="1:5" hidden="1">
      <c r="A2086" s="231"/>
      <c r="B2086" s="51">
        <v>82332</v>
      </c>
      <c r="C2086" s="82" t="s">
        <v>1419</v>
      </c>
      <c r="D2086" s="51" t="s">
        <v>136</v>
      </c>
      <c r="E2086" s="77"/>
    </row>
    <row r="2087" spans="1:5" hidden="1">
      <c r="A2087" s="231"/>
      <c r="B2087" s="51">
        <v>82333</v>
      </c>
      <c r="C2087" s="82" t="s">
        <v>1420</v>
      </c>
      <c r="D2087" s="51" t="s">
        <v>136</v>
      </c>
      <c r="E2087" s="77"/>
    </row>
    <row r="2088" spans="1:5" hidden="1">
      <c r="A2088" s="231"/>
      <c r="B2088" s="51">
        <v>82334</v>
      </c>
      <c r="C2088" s="82" t="s">
        <v>1421</v>
      </c>
      <c r="D2088" s="51" t="s">
        <v>136</v>
      </c>
      <c r="E2088" s="77"/>
    </row>
    <row r="2089" spans="1:5" ht="26.4" hidden="1">
      <c r="A2089" s="231"/>
      <c r="B2089" s="51">
        <v>82341</v>
      </c>
      <c r="C2089" s="82" t="s">
        <v>1422</v>
      </c>
      <c r="D2089" s="51" t="s">
        <v>39</v>
      </c>
      <c r="E2089" s="77"/>
    </row>
    <row r="2090" spans="1:5" ht="26.4" hidden="1">
      <c r="A2090" s="231"/>
      <c r="B2090" s="51">
        <v>82342</v>
      </c>
      <c r="C2090" s="82" t="s">
        <v>1423</v>
      </c>
      <c r="D2090" s="51" t="s">
        <v>39</v>
      </c>
      <c r="E2090" s="77"/>
    </row>
    <row r="2091" spans="1:5" ht="26.4" hidden="1">
      <c r="A2091" s="231"/>
      <c r="B2091" s="51">
        <v>82343</v>
      </c>
      <c r="C2091" s="82" t="s">
        <v>1424</v>
      </c>
      <c r="D2091" s="51" t="s">
        <v>39</v>
      </c>
      <c r="E2091" s="77"/>
    </row>
    <row r="2092" spans="1:5" hidden="1">
      <c r="A2092" s="231"/>
      <c r="B2092" s="51">
        <v>82360</v>
      </c>
      <c r="C2092" s="82" t="s">
        <v>1425</v>
      </c>
      <c r="D2092" s="51" t="s">
        <v>39</v>
      </c>
      <c r="E2092" s="77"/>
    </row>
    <row r="2093" spans="1:5" hidden="1">
      <c r="A2093" s="231"/>
      <c r="B2093" s="51">
        <v>82365</v>
      </c>
      <c r="C2093" s="82" t="s">
        <v>1426</v>
      </c>
      <c r="D2093" s="51" t="s">
        <v>39</v>
      </c>
      <c r="E2093" s="77"/>
    </row>
    <row r="2094" spans="1:5" hidden="1">
      <c r="A2094" s="231"/>
      <c r="B2094" s="51">
        <v>82373</v>
      </c>
      <c r="C2094" s="82" t="s">
        <v>1427</v>
      </c>
      <c r="D2094" s="51" t="s">
        <v>39</v>
      </c>
      <c r="E2094" s="77"/>
    </row>
    <row r="2095" spans="1:5" hidden="1">
      <c r="A2095" s="231"/>
      <c r="B2095" s="51">
        <v>82374</v>
      </c>
      <c r="C2095" s="82" t="s">
        <v>1428</v>
      </c>
      <c r="D2095" s="51" t="s">
        <v>39</v>
      </c>
      <c r="E2095" s="77"/>
    </row>
    <row r="2096" spans="1:5" hidden="1">
      <c r="A2096" s="231"/>
      <c r="B2096" s="51">
        <v>82375</v>
      </c>
      <c r="C2096" s="82" t="s">
        <v>1429</v>
      </c>
      <c r="D2096" s="51" t="s">
        <v>39</v>
      </c>
      <c r="E2096" s="77"/>
    </row>
    <row r="2097" spans="1:5" hidden="1">
      <c r="A2097" s="231"/>
      <c r="B2097" s="51">
        <v>82376</v>
      </c>
      <c r="C2097" s="82" t="s">
        <v>1430</v>
      </c>
      <c r="D2097" s="51" t="s">
        <v>39</v>
      </c>
      <c r="E2097" s="77"/>
    </row>
    <row r="2098" spans="1:5" hidden="1">
      <c r="A2098" s="231"/>
      <c r="B2098" s="51">
        <v>82377</v>
      </c>
      <c r="C2098" s="82" t="s">
        <v>1431</v>
      </c>
      <c r="D2098" s="51" t="s">
        <v>39</v>
      </c>
      <c r="E2098" s="77"/>
    </row>
    <row r="2099" spans="1:5" hidden="1">
      <c r="A2099" s="231"/>
      <c r="B2099" s="51">
        <v>82378</v>
      </c>
      <c r="C2099" s="82" t="s">
        <v>1432</v>
      </c>
      <c r="D2099" s="51" t="s">
        <v>39</v>
      </c>
      <c r="E2099" s="77"/>
    </row>
    <row r="2100" spans="1:5" hidden="1">
      <c r="A2100" s="231"/>
      <c r="B2100" s="51">
        <v>82379</v>
      </c>
      <c r="C2100" s="82" t="s">
        <v>1433</v>
      </c>
      <c r="D2100" s="51" t="s">
        <v>39</v>
      </c>
      <c r="E2100" s="77"/>
    </row>
    <row r="2101" spans="1:5" hidden="1">
      <c r="A2101" s="231"/>
      <c r="B2101" s="51">
        <v>82380</v>
      </c>
      <c r="C2101" s="82" t="s">
        <v>1434</v>
      </c>
      <c r="D2101" s="51" t="s">
        <v>39</v>
      </c>
      <c r="E2101" s="77"/>
    </row>
    <row r="2102" spans="1:5" hidden="1">
      <c r="A2102" s="231"/>
      <c r="B2102" s="51">
        <v>82381</v>
      </c>
      <c r="C2102" s="82" t="s">
        <v>1435</v>
      </c>
      <c r="D2102" s="51" t="s">
        <v>39</v>
      </c>
      <c r="E2102" s="77"/>
    </row>
    <row r="2103" spans="1:5">
      <c r="A2103" s="236"/>
      <c r="B2103" s="57">
        <v>85000</v>
      </c>
      <c r="C2103" s="40" t="s">
        <v>1436</v>
      </c>
      <c r="D2103" s="57"/>
      <c r="E2103" s="85"/>
    </row>
    <row r="2104" spans="1:5" hidden="1">
      <c r="A2104" s="231"/>
      <c r="B2104" s="51">
        <v>85001</v>
      </c>
      <c r="C2104" s="82" t="s">
        <v>1437</v>
      </c>
      <c r="D2104" s="51" t="s">
        <v>2930</v>
      </c>
      <c r="E2104" s="77"/>
    </row>
    <row r="2105" spans="1:5" ht="26.4" hidden="1">
      <c r="A2105" s="231"/>
      <c r="B2105" s="51">
        <v>85003</v>
      </c>
      <c r="C2105" s="82" t="s">
        <v>1438</v>
      </c>
      <c r="D2105" s="51" t="s">
        <v>2930</v>
      </c>
      <c r="E2105" s="77"/>
    </row>
    <row r="2106" spans="1:5" ht="26.4" hidden="1">
      <c r="A2106" s="231"/>
      <c r="B2106" s="51">
        <v>85005</v>
      </c>
      <c r="C2106" s="82" t="s">
        <v>1439</v>
      </c>
      <c r="D2106" s="51" t="s">
        <v>2930</v>
      </c>
      <c r="E2106" s="77"/>
    </row>
    <row r="2107" spans="1:5" ht="26.4" hidden="1">
      <c r="A2107" s="231"/>
      <c r="B2107" s="51">
        <v>85006</v>
      </c>
      <c r="C2107" s="82" t="s">
        <v>1440</v>
      </c>
      <c r="D2107" s="51" t="s">
        <v>2930</v>
      </c>
      <c r="E2107" s="77"/>
    </row>
    <row r="2108" spans="1:5" ht="26.4" hidden="1">
      <c r="A2108" s="231"/>
      <c r="B2108" s="51">
        <v>85007</v>
      </c>
      <c r="C2108" s="82" t="s">
        <v>1441</v>
      </c>
      <c r="D2108" s="51" t="s">
        <v>2930</v>
      </c>
      <c r="E2108" s="77"/>
    </row>
    <row r="2109" spans="1:5" ht="26.4" hidden="1">
      <c r="A2109" s="231"/>
      <c r="B2109" s="51">
        <v>85011</v>
      </c>
      <c r="C2109" s="82" t="s">
        <v>1442</v>
      </c>
      <c r="D2109" s="51" t="s">
        <v>2930</v>
      </c>
      <c r="E2109" s="77"/>
    </row>
    <row r="2110" spans="1:5" ht="26.4" hidden="1">
      <c r="A2110" s="231"/>
      <c r="B2110" s="51">
        <v>85015</v>
      </c>
      <c r="C2110" s="82" t="s">
        <v>1443</v>
      </c>
      <c r="D2110" s="51" t="s">
        <v>2930</v>
      </c>
      <c r="E2110" s="77"/>
    </row>
    <row r="2111" spans="1:5" hidden="1">
      <c r="A2111" s="231"/>
      <c r="B2111" s="51">
        <v>85017</v>
      </c>
      <c r="C2111" s="82" t="s">
        <v>1444</v>
      </c>
      <c r="D2111" s="51" t="s">
        <v>988</v>
      </c>
      <c r="E2111" s="77"/>
    </row>
    <row r="2112" spans="1:5" hidden="1">
      <c r="A2112" s="231"/>
      <c r="B2112" s="51">
        <v>85019</v>
      </c>
      <c r="C2112" s="82" t="s">
        <v>1445</v>
      </c>
      <c r="D2112" s="51" t="s">
        <v>988</v>
      </c>
      <c r="E2112" s="77"/>
    </row>
    <row r="2113" spans="1:5" hidden="1">
      <c r="A2113" s="231"/>
      <c r="B2113" s="51">
        <v>85023</v>
      </c>
      <c r="C2113" s="82" t="s">
        <v>1446</v>
      </c>
      <c r="D2113" s="51" t="s">
        <v>988</v>
      </c>
      <c r="E2113" s="77"/>
    </row>
    <row r="2114" spans="1:5" hidden="1">
      <c r="A2114" s="231"/>
      <c r="B2114" s="51">
        <v>85025</v>
      </c>
      <c r="C2114" s="82" t="s">
        <v>1447</v>
      </c>
      <c r="D2114" s="51" t="s">
        <v>2930</v>
      </c>
      <c r="E2114" s="77"/>
    </row>
    <row r="2115" spans="1:5" hidden="1">
      <c r="A2115" s="231"/>
      <c r="B2115" s="51">
        <v>85027</v>
      </c>
      <c r="C2115" s="82" t="s">
        <v>1448</v>
      </c>
      <c r="D2115" s="51" t="s">
        <v>2930</v>
      </c>
      <c r="E2115" s="77"/>
    </row>
    <row r="2116" spans="1:5" hidden="1">
      <c r="A2116" s="231"/>
      <c r="B2116" s="51">
        <v>85031</v>
      </c>
      <c r="C2116" s="82" t="s">
        <v>1449</v>
      </c>
      <c r="D2116" s="51" t="s">
        <v>2930</v>
      </c>
      <c r="E2116" s="77"/>
    </row>
    <row r="2117" spans="1:5" hidden="1">
      <c r="A2117" s="231"/>
      <c r="B2117" s="51">
        <v>85035</v>
      </c>
      <c r="C2117" s="82" t="s">
        <v>1450</v>
      </c>
      <c r="D2117" s="51" t="s">
        <v>2930</v>
      </c>
      <c r="E2117" s="77"/>
    </row>
    <row r="2118" spans="1:5" hidden="1">
      <c r="A2118" s="231"/>
      <c r="B2118" s="51">
        <v>85037</v>
      </c>
      <c r="C2118" s="82" t="s">
        <v>1451</v>
      </c>
      <c r="D2118" s="51" t="s">
        <v>2930</v>
      </c>
      <c r="E2118" s="77"/>
    </row>
    <row r="2119" spans="1:5" hidden="1">
      <c r="A2119" s="231"/>
      <c r="B2119" s="51">
        <v>85039</v>
      </c>
      <c r="C2119" s="82" t="s">
        <v>1452</v>
      </c>
      <c r="D2119" s="51" t="s">
        <v>2930</v>
      </c>
      <c r="E2119" s="77"/>
    </row>
    <row r="2120" spans="1:5" hidden="1">
      <c r="A2120" s="231"/>
      <c r="B2120" s="51">
        <v>85041</v>
      </c>
      <c r="C2120" s="82" t="s">
        <v>1453</v>
      </c>
      <c r="D2120" s="51" t="s">
        <v>2930</v>
      </c>
      <c r="E2120" s="77"/>
    </row>
    <row r="2121" spans="1:5" hidden="1">
      <c r="A2121" s="231"/>
      <c r="B2121" s="51">
        <v>85042</v>
      </c>
      <c r="C2121" s="82" t="s">
        <v>1454</v>
      </c>
      <c r="D2121" s="51" t="s">
        <v>2930</v>
      </c>
      <c r="E2121" s="77"/>
    </row>
    <row r="2122" spans="1:5" hidden="1">
      <c r="A2122" s="231"/>
      <c r="B2122" s="51">
        <v>85043</v>
      </c>
      <c r="C2122" s="82" t="s">
        <v>1455</v>
      </c>
      <c r="D2122" s="51" t="s">
        <v>2930</v>
      </c>
      <c r="E2122" s="77"/>
    </row>
    <row r="2123" spans="1:5" hidden="1">
      <c r="A2123" s="231"/>
      <c r="B2123" s="51">
        <v>85045</v>
      </c>
      <c r="C2123" s="82" t="s">
        <v>1456</v>
      </c>
      <c r="D2123" s="51" t="s">
        <v>2930</v>
      </c>
      <c r="E2123" s="77"/>
    </row>
    <row r="2124" spans="1:5" hidden="1">
      <c r="A2124" s="231"/>
      <c r="B2124" s="51">
        <v>85047</v>
      </c>
      <c r="C2124" s="82" t="s">
        <v>1457</v>
      </c>
      <c r="D2124" s="51" t="s">
        <v>2930</v>
      </c>
      <c r="E2124" s="77"/>
    </row>
    <row r="2125" spans="1:5" hidden="1">
      <c r="A2125" s="231"/>
      <c r="B2125" s="51">
        <v>85049</v>
      </c>
      <c r="C2125" s="82" t="s">
        <v>1458</v>
      </c>
      <c r="D2125" s="51" t="s">
        <v>2930</v>
      </c>
      <c r="E2125" s="77"/>
    </row>
    <row r="2126" spans="1:5" hidden="1">
      <c r="A2126" s="231"/>
      <c r="B2126" s="51">
        <v>85051</v>
      </c>
      <c r="C2126" s="82" t="s">
        <v>1459</v>
      </c>
      <c r="D2126" s="51" t="s">
        <v>2930</v>
      </c>
      <c r="E2126" s="77"/>
    </row>
    <row r="2127" spans="1:5" hidden="1">
      <c r="A2127" s="231"/>
      <c r="B2127" s="51">
        <v>85053</v>
      </c>
      <c r="C2127" s="82" t="s">
        <v>1460</v>
      </c>
      <c r="D2127" s="51" t="s">
        <v>2930</v>
      </c>
      <c r="E2127" s="77"/>
    </row>
    <row r="2128" spans="1:5" hidden="1">
      <c r="A2128" s="231"/>
      <c r="B2128" s="51">
        <v>85055</v>
      </c>
      <c r="C2128" s="82" t="s">
        <v>1461</v>
      </c>
      <c r="D2128" s="51" t="s">
        <v>2930</v>
      </c>
      <c r="E2128" s="77"/>
    </row>
    <row r="2129" spans="1:5" hidden="1">
      <c r="A2129" s="231"/>
      <c r="B2129" s="51">
        <v>85056</v>
      </c>
      <c r="C2129" s="82" t="s">
        <v>1462</v>
      </c>
      <c r="D2129" s="51" t="s">
        <v>2930</v>
      </c>
      <c r="E2129" s="77"/>
    </row>
    <row r="2130" spans="1:5" hidden="1">
      <c r="A2130" s="231"/>
      <c r="B2130" s="51">
        <v>85057</v>
      </c>
      <c r="C2130" s="82" t="s">
        <v>1463</v>
      </c>
      <c r="D2130" s="51" t="s">
        <v>2930</v>
      </c>
      <c r="E2130" s="77"/>
    </row>
    <row r="2131" spans="1:5" hidden="1">
      <c r="A2131" s="231"/>
      <c r="B2131" s="51">
        <v>85058</v>
      </c>
      <c r="C2131" s="82" t="s">
        <v>1464</v>
      </c>
      <c r="D2131" s="51" t="s">
        <v>2930</v>
      </c>
      <c r="E2131" s="77"/>
    </row>
    <row r="2132" spans="1:5" hidden="1">
      <c r="A2132" s="231"/>
      <c r="B2132" s="51">
        <v>85061</v>
      </c>
      <c r="C2132" s="82" t="s">
        <v>1465</v>
      </c>
      <c r="D2132" s="51" t="s">
        <v>2930</v>
      </c>
      <c r="E2132" s="77"/>
    </row>
    <row r="2133" spans="1:5" hidden="1">
      <c r="A2133" s="231"/>
      <c r="B2133" s="51">
        <v>85062</v>
      </c>
      <c r="C2133" s="82" t="s">
        <v>1466</v>
      </c>
      <c r="D2133" s="51" t="s">
        <v>2930</v>
      </c>
      <c r="E2133" s="77"/>
    </row>
    <row r="2134" spans="1:5" hidden="1">
      <c r="A2134" s="231"/>
      <c r="B2134" s="51">
        <v>85063</v>
      </c>
      <c r="C2134" s="82" t="s">
        <v>1467</v>
      </c>
      <c r="D2134" s="51" t="s">
        <v>2930</v>
      </c>
      <c r="E2134" s="77"/>
    </row>
    <row r="2135" spans="1:5" hidden="1">
      <c r="A2135" s="231"/>
      <c r="B2135" s="51">
        <v>85065</v>
      </c>
      <c r="C2135" s="82" t="s">
        <v>1468</v>
      </c>
      <c r="D2135" s="51" t="s">
        <v>2930</v>
      </c>
      <c r="E2135" s="77"/>
    </row>
    <row r="2136" spans="1:5" hidden="1">
      <c r="A2136" s="231"/>
      <c r="B2136" s="51">
        <v>85067</v>
      </c>
      <c r="C2136" s="82" t="s">
        <v>1469</v>
      </c>
      <c r="D2136" s="51" t="s">
        <v>2930</v>
      </c>
      <c r="E2136" s="77"/>
    </row>
    <row r="2137" spans="1:5" hidden="1">
      <c r="A2137" s="231"/>
      <c r="B2137" s="51">
        <v>85069</v>
      </c>
      <c r="C2137" s="82" t="s">
        <v>1470</v>
      </c>
      <c r="D2137" s="51" t="s">
        <v>2930</v>
      </c>
      <c r="E2137" s="77"/>
    </row>
    <row r="2138" spans="1:5" hidden="1">
      <c r="A2138" s="231"/>
      <c r="B2138" s="51">
        <v>85071</v>
      </c>
      <c r="C2138" s="82" t="s">
        <v>1471</v>
      </c>
      <c r="D2138" s="51" t="s">
        <v>2930</v>
      </c>
      <c r="E2138" s="77"/>
    </row>
    <row r="2139" spans="1:5" hidden="1">
      <c r="A2139" s="231"/>
      <c r="B2139" s="51">
        <v>85073</v>
      </c>
      <c r="C2139" s="82" t="s">
        <v>1472</v>
      </c>
      <c r="D2139" s="51" t="s">
        <v>2930</v>
      </c>
      <c r="E2139" s="77"/>
    </row>
    <row r="2140" spans="1:5" hidden="1">
      <c r="A2140" s="231"/>
      <c r="B2140" s="51">
        <v>85075</v>
      </c>
      <c r="C2140" s="82" t="s">
        <v>1473</v>
      </c>
      <c r="D2140" s="51" t="s">
        <v>2930</v>
      </c>
      <c r="E2140" s="77"/>
    </row>
    <row r="2141" spans="1:5" hidden="1">
      <c r="A2141" s="231"/>
      <c r="B2141" s="51">
        <v>85076</v>
      </c>
      <c r="C2141" s="82" t="s">
        <v>1474</v>
      </c>
      <c r="D2141" s="51" t="s">
        <v>2930</v>
      </c>
      <c r="E2141" s="77"/>
    </row>
    <row r="2142" spans="1:5" hidden="1">
      <c r="A2142" s="231"/>
      <c r="B2142" s="51">
        <v>85077</v>
      </c>
      <c r="C2142" s="82" t="s">
        <v>1475</v>
      </c>
      <c r="D2142" s="51" t="s">
        <v>2930</v>
      </c>
      <c r="E2142" s="77"/>
    </row>
    <row r="2143" spans="1:5" hidden="1">
      <c r="A2143" s="231"/>
      <c r="B2143" s="51">
        <v>85078</v>
      </c>
      <c r="C2143" s="82" t="s">
        <v>1476</v>
      </c>
      <c r="D2143" s="51" t="s">
        <v>2930</v>
      </c>
      <c r="E2143" s="77"/>
    </row>
    <row r="2144" spans="1:5" hidden="1">
      <c r="A2144" s="231"/>
      <c r="B2144" s="51">
        <v>85079</v>
      </c>
      <c r="C2144" s="82" t="s">
        <v>1477</v>
      </c>
      <c r="D2144" s="51" t="s">
        <v>2930</v>
      </c>
      <c r="E2144" s="77"/>
    </row>
    <row r="2145" spans="1:6" hidden="1">
      <c r="A2145" s="231"/>
      <c r="B2145" s="51">
        <v>85080</v>
      </c>
      <c r="C2145" s="82" t="s">
        <v>1478</v>
      </c>
      <c r="D2145" s="51" t="s">
        <v>2930</v>
      </c>
      <c r="E2145" s="77"/>
    </row>
    <row r="2146" spans="1:6" hidden="1">
      <c r="A2146" s="231"/>
      <c r="B2146" s="51">
        <v>85081</v>
      </c>
      <c r="C2146" s="82" t="s">
        <v>1479</v>
      </c>
      <c r="D2146" s="51" t="s">
        <v>2930</v>
      </c>
      <c r="E2146" s="77"/>
    </row>
    <row r="2147" spans="1:6" hidden="1">
      <c r="A2147" s="231"/>
      <c r="B2147" s="51">
        <v>85082</v>
      </c>
      <c r="C2147" s="82" t="s">
        <v>1480</v>
      </c>
      <c r="D2147" s="51" t="s">
        <v>2930</v>
      </c>
      <c r="E2147" s="77"/>
    </row>
    <row r="2148" spans="1:6" hidden="1">
      <c r="A2148" s="231"/>
      <c r="B2148" s="51">
        <v>85083</v>
      </c>
      <c r="C2148" s="82" t="s">
        <v>1481</v>
      </c>
      <c r="D2148" s="51" t="s">
        <v>2930</v>
      </c>
      <c r="E2148" s="77"/>
    </row>
    <row r="2149" spans="1:6">
      <c r="A2149" s="236"/>
      <c r="B2149" s="57">
        <v>86000</v>
      </c>
      <c r="C2149" s="40" t="s">
        <v>2895</v>
      </c>
      <c r="D2149" s="57"/>
      <c r="E2149" s="85"/>
    </row>
    <row r="2150" spans="1:6">
      <c r="A2150" s="91" t="s">
        <v>3831</v>
      </c>
      <c r="B2150" s="110" t="s">
        <v>3431</v>
      </c>
      <c r="C2150" s="111" t="s">
        <v>2896</v>
      </c>
      <c r="D2150" s="56" t="s">
        <v>2930</v>
      </c>
      <c r="E2150" s="84">
        <f>ROUND((E2151),2)</f>
        <v>16</v>
      </c>
      <c r="F2150" s="203"/>
    </row>
    <row r="2151" spans="1:6" ht="22.8">
      <c r="A2151" s="91"/>
      <c r="B2151" s="115"/>
      <c r="C2151" s="109" t="s">
        <v>2897</v>
      </c>
      <c r="D2151" s="99" t="s">
        <v>2930</v>
      </c>
      <c r="E2151" s="135">
        <v>16</v>
      </c>
    </row>
    <row r="2152" spans="1:6">
      <c r="A2152" s="91"/>
      <c r="B2152" s="115"/>
      <c r="C2152" s="109"/>
      <c r="D2152" s="108"/>
      <c r="E2152" s="135"/>
    </row>
    <row r="2153" spans="1:6" ht="26.4">
      <c r="A2153" s="91" t="s">
        <v>3832</v>
      </c>
      <c r="B2153" s="110" t="s">
        <v>2898</v>
      </c>
      <c r="C2153" s="111" t="s">
        <v>2899</v>
      </c>
      <c r="D2153" s="56" t="s">
        <v>2930</v>
      </c>
      <c r="E2153" s="84">
        <f>ROUND((E2154),2)</f>
        <v>2</v>
      </c>
    </row>
    <row r="2154" spans="1:6" ht="22.8">
      <c r="A2154" s="91"/>
      <c r="B2154" s="115"/>
      <c r="C2154" s="109" t="s">
        <v>2900</v>
      </c>
      <c r="D2154" s="99" t="s">
        <v>2930</v>
      </c>
      <c r="E2154" s="135">
        <v>2</v>
      </c>
    </row>
    <row r="2155" spans="1:6">
      <c r="A2155" s="91"/>
      <c r="B2155" s="115"/>
      <c r="C2155" s="109"/>
      <c r="D2155" s="108"/>
      <c r="E2155" s="135"/>
    </row>
    <row r="2156" spans="1:6">
      <c r="A2156" s="91" t="s">
        <v>3833</v>
      </c>
      <c r="B2156" s="110" t="s">
        <v>3432</v>
      </c>
      <c r="C2156" s="111" t="s">
        <v>3957</v>
      </c>
      <c r="D2156" s="56" t="s">
        <v>2930</v>
      </c>
      <c r="E2156" s="84">
        <f>ROUND((E2157),2)</f>
        <v>16</v>
      </c>
      <c r="F2156" s="203"/>
    </row>
    <row r="2157" spans="1:6" ht="22.8">
      <c r="A2157" s="91"/>
      <c r="B2157" s="115"/>
      <c r="C2157" s="109" t="s">
        <v>2897</v>
      </c>
      <c r="D2157" s="99" t="s">
        <v>2930</v>
      </c>
      <c r="E2157" s="135">
        <v>16</v>
      </c>
    </row>
    <row r="2158" spans="1:6">
      <c r="A2158" s="91"/>
      <c r="B2158" s="115"/>
      <c r="C2158" s="114"/>
      <c r="D2158" s="115"/>
      <c r="E2158" s="84"/>
    </row>
    <row r="2159" spans="1:6">
      <c r="A2159" s="91" t="s">
        <v>3834</v>
      </c>
      <c r="B2159" s="110" t="s">
        <v>3437</v>
      </c>
      <c r="C2159" s="111" t="s">
        <v>2905</v>
      </c>
      <c r="D2159" s="56" t="s">
        <v>2930</v>
      </c>
      <c r="E2159" s="84">
        <f>ROUND((E2160),2)</f>
        <v>16</v>
      </c>
      <c r="F2159" s="203"/>
    </row>
    <row r="2160" spans="1:6" ht="22.8">
      <c r="A2160" s="91"/>
      <c r="B2160" s="115"/>
      <c r="C2160" s="109" t="s">
        <v>2897</v>
      </c>
      <c r="D2160" s="99" t="s">
        <v>2930</v>
      </c>
      <c r="E2160" s="135">
        <v>16</v>
      </c>
    </row>
    <row r="2161" spans="1:6">
      <c r="A2161" s="91"/>
      <c r="B2161" s="115"/>
      <c r="C2161" s="114"/>
      <c r="D2161" s="115"/>
      <c r="E2161" s="84"/>
    </row>
    <row r="2162" spans="1:6">
      <c r="A2162" s="91" t="s">
        <v>3835</v>
      </c>
      <c r="B2162" s="110" t="s">
        <v>3450</v>
      </c>
      <c r="C2162" s="111" t="s">
        <v>2909</v>
      </c>
      <c r="D2162" s="56" t="s">
        <v>2930</v>
      </c>
      <c r="E2162" s="84">
        <f>ROUND((E2163),2)</f>
        <v>16</v>
      </c>
      <c r="F2162" s="203"/>
    </row>
    <row r="2163" spans="1:6" ht="22.8">
      <c r="A2163" s="91"/>
      <c r="B2163" s="115"/>
      <c r="C2163" s="109" t="s">
        <v>2897</v>
      </c>
      <c r="D2163" s="99" t="s">
        <v>2930</v>
      </c>
      <c r="E2163" s="135">
        <v>16</v>
      </c>
    </row>
    <row r="2164" spans="1:6">
      <c r="A2164" s="91"/>
      <c r="B2164" s="115"/>
      <c r="C2164" s="109"/>
      <c r="D2164" s="108"/>
      <c r="E2164" s="135"/>
    </row>
    <row r="2165" spans="1:6">
      <c r="A2165" s="91" t="s">
        <v>3836</v>
      </c>
      <c r="B2165" s="110" t="s">
        <v>3451</v>
      </c>
      <c r="C2165" s="111" t="s">
        <v>3955</v>
      </c>
      <c r="D2165" s="97" t="s">
        <v>2114</v>
      </c>
      <c r="E2165" s="84">
        <f>ROUND((E2166),2)</f>
        <v>4.7699999999999996</v>
      </c>
      <c r="F2165" s="204"/>
    </row>
    <row r="2166" spans="1:6" ht="22.8">
      <c r="A2166" s="91"/>
      <c r="B2166" s="115"/>
      <c r="C2166" s="109" t="s">
        <v>2911</v>
      </c>
      <c r="D2166" s="99" t="s">
        <v>2114</v>
      </c>
      <c r="E2166" s="135">
        <v>4.7699999999999996</v>
      </c>
    </row>
    <row r="2167" spans="1:6">
      <c r="A2167" s="91"/>
      <c r="B2167" s="115"/>
      <c r="C2167" s="109"/>
      <c r="D2167" s="108"/>
      <c r="E2167" s="135"/>
    </row>
    <row r="2168" spans="1:6">
      <c r="A2168" s="91" t="s">
        <v>3837</v>
      </c>
      <c r="B2168" s="110" t="s">
        <v>3912</v>
      </c>
      <c r="C2168" s="111" t="s">
        <v>2913</v>
      </c>
      <c r="D2168" s="97" t="s">
        <v>2114</v>
      </c>
      <c r="E2168" s="84">
        <f>ROUND((E2169),2)</f>
        <v>23.66</v>
      </c>
      <c r="F2168" s="204"/>
    </row>
    <row r="2169" spans="1:6" ht="22.8">
      <c r="A2169" s="91"/>
      <c r="B2169" s="115"/>
      <c r="C2169" s="109" t="s">
        <v>2914</v>
      </c>
      <c r="D2169" s="99" t="s">
        <v>2114</v>
      </c>
      <c r="E2169" s="135">
        <v>23.66</v>
      </c>
    </row>
    <row r="2170" spans="1:6">
      <c r="A2170" s="91"/>
      <c r="B2170" s="115"/>
      <c r="C2170" s="109"/>
      <c r="D2170" s="108"/>
      <c r="E2170" s="135"/>
    </row>
    <row r="2171" spans="1:6">
      <c r="A2171" s="91" t="s">
        <v>3838</v>
      </c>
      <c r="B2171" s="110" t="s">
        <v>3913</v>
      </c>
      <c r="C2171" s="111" t="s">
        <v>3958</v>
      </c>
      <c r="D2171" s="56" t="s">
        <v>2930</v>
      </c>
      <c r="E2171" s="84">
        <f>ROUND((E2172),2)</f>
        <v>192</v>
      </c>
      <c r="F2171" s="204"/>
    </row>
    <row r="2172" spans="1:6" ht="22.8">
      <c r="A2172" s="91"/>
      <c r="B2172" s="115"/>
      <c r="C2172" s="109" t="s">
        <v>2918</v>
      </c>
      <c r="D2172" s="99" t="s">
        <v>2930</v>
      </c>
      <c r="E2172" s="135">
        <v>192</v>
      </c>
    </row>
    <row r="2173" spans="1:6">
      <c r="A2173" s="91"/>
      <c r="B2173" s="115"/>
      <c r="C2173" s="109"/>
      <c r="D2173" s="108"/>
      <c r="E2173" s="135"/>
    </row>
    <row r="2174" spans="1:6" ht="26.4">
      <c r="A2174" s="91" t="s">
        <v>3839</v>
      </c>
      <c r="B2174" s="110" t="s">
        <v>3914</v>
      </c>
      <c r="C2174" s="111" t="s">
        <v>3959</v>
      </c>
      <c r="D2174" s="56" t="s">
        <v>2930</v>
      </c>
      <c r="E2174" s="84">
        <f>ROUND((E2175),2)</f>
        <v>2</v>
      </c>
      <c r="F2174" s="204"/>
    </row>
    <row r="2175" spans="1:6" ht="22.8">
      <c r="A2175" s="91"/>
      <c r="B2175" s="115"/>
      <c r="C2175" s="109" t="s">
        <v>2921</v>
      </c>
      <c r="D2175" s="99" t="s">
        <v>2930</v>
      </c>
      <c r="E2175" s="135">
        <v>2</v>
      </c>
    </row>
    <row r="2176" spans="1:6">
      <c r="A2176" s="91"/>
      <c r="B2176" s="115"/>
      <c r="C2176" s="109"/>
      <c r="D2176" s="108"/>
      <c r="E2176" s="135"/>
    </row>
    <row r="2177" spans="1:5">
      <c r="A2177" s="91"/>
      <c r="B2177" s="115"/>
      <c r="C2177" s="109"/>
      <c r="D2177" s="108"/>
      <c r="E2177" s="135"/>
    </row>
    <row r="2178" spans="1:5">
      <c r="A2178" s="41"/>
      <c r="B2178" s="54">
        <v>90000</v>
      </c>
      <c r="C2178" s="29" t="s">
        <v>1482</v>
      </c>
      <c r="D2178" s="54"/>
      <c r="E2178" s="78"/>
    </row>
    <row r="2179" spans="1:5">
      <c r="A2179" s="42"/>
      <c r="B2179" s="59">
        <v>91000</v>
      </c>
      <c r="C2179" s="36" t="s">
        <v>1483</v>
      </c>
      <c r="D2179" s="144"/>
      <c r="E2179" s="79"/>
    </row>
    <row r="2180" spans="1:5" ht="26.4" hidden="1">
      <c r="A2180" s="37"/>
      <c r="B2180" s="51">
        <v>91007</v>
      </c>
      <c r="C2180" s="82" t="s">
        <v>1484</v>
      </c>
      <c r="D2180" s="51" t="s">
        <v>2930</v>
      </c>
      <c r="E2180" s="77"/>
    </row>
    <row r="2181" spans="1:5" ht="26.4" hidden="1">
      <c r="A2181" s="37"/>
      <c r="B2181" s="51">
        <v>91009</v>
      </c>
      <c r="C2181" s="82" t="s">
        <v>1485</v>
      </c>
      <c r="D2181" s="51" t="s">
        <v>2930</v>
      </c>
      <c r="E2181" s="77"/>
    </row>
    <row r="2182" spans="1:5" ht="39.6" hidden="1">
      <c r="A2182" s="37"/>
      <c r="B2182" s="51">
        <v>91010</v>
      </c>
      <c r="C2182" s="82" t="s">
        <v>1486</v>
      </c>
      <c r="D2182" s="51" t="s">
        <v>2930</v>
      </c>
      <c r="E2182" s="77"/>
    </row>
    <row r="2183" spans="1:5" ht="39.6" hidden="1">
      <c r="A2183" s="37"/>
      <c r="B2183" s="51">
        <v>91011</v>
      </c>
      <c r="C2183" s="82" t="s">
        <v>1487</v>
      </c>
      <c r="D2183" s="51" t="s">
        <v>2930</v>
      </c>
      <c r="E2183" s="77"/>
    </row>
    <row r="2184" spans="1:5" ht="26.4" hidden="1">
      <c r="A2184" s="37"/>
      <c r="B2184" s="51">
        <v>91012</v>
      </c>
      <c r="C2184" s="82" t="s">
        <v>1488</v>
      </c>
      <c r="D2184" s="51" t="s">
        <v>39</v>
      </c>
      <c r="E2184" s="77"/>
    </row>
    <row r="2185" spans="1:5" ht="26.4" hidden="1">
      <c r="A2185" s="37"/>
      <c r="B2185" s="51">
        <v>91018</v>
      </c>
      <c r="C2185" s="82" t="s">
        <v>1489</v>
      </c>
      <c r="D2185" s="51" t="s">
        <v>2930</v>
      </c>
      <c r="E2185" s="77"/>
    </row>
    <row r="2186" spans="1:5" ht="26.4" hidden="1">
      <c r="A2186" s="37"/>
      <c r="B2186" s="51">
        <v>91020</v>
      </c>
      <c r="C2186" s="82" t="s">
        <v>1490</v>
      </c>
      <c r="D2186" s="51" t="s">
        <v>2930</v>
      </c>
      <c r="E2186" s="77"/>
    </row>
    <row r="2187" spans="1:5" ht="26.4" hidden="1">
      <c r="A2187" s="37"/>
      <c r="B2187" s="51">
        <v>91021</v>
      </c>
      <c r="C2187" s="82" t="s">
        <v>1491</v>
      </c>
      <c r="D2187" s="51" t="s">
        <v>2930</v>
      </c>
      <c r="E2187" s="77"/>
    </row>
    <row r="2188" spans="1:5" ht="26.4" hidden="1">
      <c r="A2188" s="37"/>
      <c r="B2188" s="51">
        <v>91022</v>
      </c>
      <c r="C2188" s="82" t="s">
        <v>1492</v>
      </c>
      <c r="D2188" s="51" t="s">
        <v>2930</v>
      </c>
      <c r="E2188" s="77"/>
    </row>
    <row r="2189" spans="1:5" ht="26.4" hidden="1">
      <c r="A2189" s="37"/>
      <c r="B2189" s="51">
        <v>91024</v>
      </c>
      <c r="C2189" s="82" t="s">
        <v>1493</v>
      </c>
      <c r="D2189" s="51" t="s">
        <v>2930</v>
      </c>
      <c r="E2189" s="77"/>
    </row>
    <row r="2190" spans="1:5" ht="26.4" hidden="1">
      <c r="A2190" s="37"/>
      <c r="B2190" s="51">
        <v>91025</v>
      </c>
      <c r="C2190" s="82" t="s">
        <v>1494</v>
      </c>
      <c r="D2190" s="51" t="s">
        <v>2930</v>
      </c>
      <c r="E2190" s="77"/>
    </row>
    <row r="2191" spans="1:5" ht="26.4" hidden="1">
      <c r="A2191" s="37"/>
      <c r="B2191" s="51">
        <v>91026</v>
      </c>
      <c r="C2191" s="82" t="s">
        <v>1495</v>
      </c>
      <c r="D2191" s="51" t="s">
        <v>2930</v>
      </c>
      <c r="E2191" s="77"/>
    </row>
    <row r="2192" spans="1:5" hidden="1">
      <c r="A2192" s="37"/>
      <c r="B2192" s="51">
        <v>91029</v>
      </c>
      <c r="C2192" s="82" t="s">
        <v>1496</v>
      </c>
      <c r="D2192" s="51" t="s">
        <v>2930</v>
      </c>
      <c r="E2192" s="77"/>
    </row>
    <row r="2193" spans="1:5" ht="26.4" hidden="1">
      <c r="A2193" s="37"/>
      <c r="B2193" s="51">
        <v>91031</v>
      </c>
      <c r="C2193" s="82" t="s">
        <v>1497</v>
      </c>
      <c r="D2193" s="51" t="s">
        <v>2930</v>
      </c>
      <c r="E2193" s="77"/>
    </row>
    <row r="2194" spans="1:5" ht="26.4" hidden="1">
      <c r="A2194" s="37"/>
      <c r="B2194" s="51">
        <v>91034</v>
      </c>
      <c r="C2194" s="82" t="s">
        <v>1498</v>
      </c>
      <c r="D2194" s="51" t="s">
        <v>2930</v>
      </c>
      <c r="E2194" s="77"/>
    </row>
    <row r="2195" spans="1:5" ht="26.4" hidden="1">
      <c r="A2195" s="37"/>
      <c r="B2195" s="51">
        <v>91040</v>
      </c>
      <c r="C2195" s="82" t="s">
        <v>1499</v>
      </c>
      <c r="D2195" s="51" t="s">
        <v>2930</v>
      </c>
      <c r="E2195" s="77"/>
    </row>
    <row r="2196" spans="1:5" ht="39.6" hidden="1">
      <c r="A2196" s="37"/>
      <c r="B2196" s="51">
        <v>91041</v>
      </c>
      <c r="C2196" s="82" t="s">
        <v>1500</v>
      </c>
      <c r="D2196" s="51" t="s">
        <v>2930</v>
      </c>
      <c r="E2196" s="77"/>
    </row>
    <row r="2197" spans="1:5" ht="52.8" hidden="1">
      <c r="A2197" s="37"/>
      <c r="B2197" s="51">
        <v>91045</v>
      </c>
      <c r="C2197" s="82" t="s">
        <v>1501</v>
      </c>
      <c r="D2197" s="51" t="s">
        <v>2930</v>
      </c>
      <c r="E2197" s="77"/>
    </row>
    <row r="2198" spans="1:5" ht="26.4" hidden="1">
      <c r="A2198" s="37"/>
      <c r="B2198" s="51">
        <v>91046</v>
      </c>
      <c r="C2198" s="82" t="s">
        <v>1502</v>
      </c>
      <c r="D2198" s="51" t="s">
        <v>2930</v>
      </c>
      <c r="E2198" s="77"/>
    </row>
    <row r="2199" spans="1:5">
      <c r="A2199" s="32">
        <v>7</v>
      </c>
      <c r="B2199" s="55">
        <v>100000</v>
      </c>
      <c r="C2199" s="33" t="s">
        <v>1503</v>
      </c>
      <c r="D2199" s="55"/>
      <c r="E2199" s="78"/>
    </row>
    <row r="2200" spans="1:5" hidden="1">
      <c r="A2200" s="37"/>
      <c r="B2200" s="51">
        <v>100101</v>
      </c>
      <c r="C2200" s="82" t="s">
        <v>1504</v>
      </c>
      <c r="D2200" s="51" t="s">
        <v>12</v>
      </c>
      <c r="E2200" s="77"/>
    </row>
    <row r="2201" spans="1:5" hidden="1">
      <c r="A2201" s="37"/>
      <c r="B2201" s="51">
        <v>100102</v>
      </c>
      <c r="C2201" s="82" t="s">
        <v>1505</v>
      </c>
      <c r="D2201" s="51" t="s">
        <v>12</v>
      </c>
      <c r="E2201" s="77"/>
    </row>
    <row r="2202" spans="1:5" ht="26.4" hidden="1">
      <c r="A2202" s="37"/>
      <c r="B2202" s="51">
        <v>100103</v>
      </c>
      <c r="C2202" s="82" t="s">
        <v>1506</v>
      </c>
      <c r="D2202" s="51" t="s">
        <v>12</v>
      </c>
      <c r="E2202" s="77"/>
    </row>
    <row r="2203" spans="1:5" ht="26.4">
      <c r="A2203" s="91" t="s">
        <v>2825</v>
      </c>
      <c r="B2203" s="56">
        <v>100155</v>
      </c>
      <c r="C2203" s="83" t="s">
        <v>1507</v>
      </c>
      <c r="D2203" s="56" t="s">
        <v>12</v>
      </c>
      <c r="E2203" s="84">
        <f>ROUND(SUM(E2205:E2214),2)</f>
        <v>12.48</v>
      </c>
    </row>
    <row r="2204" spans="1:5">
      <c r="A2204" s="34"/>
      <c r="B2204" s="56"/>
      <c r="C2204" s="100" t="s">
        <v>2634</v>
      </c>
      <c r="D2204" s="56"/>
      <c r="E2204" s="74"/>
    </row>
    <row r="2205" spans="1:5">
      <c r="A2205" s="34"/>
      <c r="B2205" s="56"/>
      <c r="C2205" s="104" t="s">
        <v>2628</v>
      </c>
      <c r="D2205" s="99" t="s">
        <v>12</v>
      </c>
      <c r="E2205" s="113">
        <f>2.1*1</f>
        <v>2.1</v>
      </c>
    </row>
    <row r="2206" spans="1:5">
      <c r="A2206" s="34"/>
      <c r="B2206" s="56"/>
      <c r="C2206" s="104" t="s">
        <v>2629</v>
      </c>
      <c r="D2206" s="99" t="s">
        <v>12</v>
      </c>
      <c r="E2206" s="113">
        <f>3*1</f>
        <v>3</v>
      </c>
    </row>
    <row r="2207" spans="1:5" ht="34.200000000000003">
      <c r="A2207" s="34"/>
      <c r="B2207" s="56"/>
      <c r="C2207" s="104" t="s">
        <v>3076</v>
      </c>
      <c r="D2207" s="99" t="s">
        <v>12</v>
      </c>
      <c r="E2207" s="113">
        <f>(2*1)-(0.9*0.4)</f>
        <v>1.64</v>
      </c>
    </row>
    <row r="2208" spans="1:5">
      <c r="A2208" s="34"/>
      <c r="B2208" s="56"/>
      <c r="C2208" s="104" t="s">
        <v>3159</v>
      </c>
      <c r="D2208" s="99" t="s">
        <v>12</v>
      </c>
      <c r="E2208" s="113">
        <f>2*1</f>
        <v>2</v>
      </c>
    </row>
    <row r="2209" spans="1:5">
      <c r="A2209" s="34"/>
      <c r="B2209" s="56"/>
      <c r="C2209" s="104" t="s">
        <v>2687</v>
      </c>
      <c r="D2209" s="99" t="s">
        <v>12</v>
      </c>
      <c r="E2209" s="113">
        <f>2.1*1</f>
        <v>2.1</v>
      </c>
    </row>
    <row r="2210" spans="1:5" ht="22.8">
      <c r="A2210" s="112"/>
      <c r="B2210" s="99"/>
      <c r="C2210" s="104" t="s">
        <v>3149</v>
      </c>
      <c r="D2210" s="99" t="s">
        <v>12</v>
      </c>
      <c r="E2210" s="113">
        <f>PI()*0.5*0.5/4</f>
        <v>0.19634954084936207</v>
      </c>
    </row>
    <row r="2211" spans="1:5">
      <c r="A2211" s="112"/>
      <c r="B2211" s="99"/>
      <c r="C2211" s="104"/>
      <c r="D2211" s="99"/>
      <c r="E2211" s="113"/>
    </row>
    <row r="2212" spans="1:5">
      <c r="A2212" s="34"/>
      <c r="B2212" s="56"/>
      <c r="C2212" s="100" t="s">
        <v>3096</v>
      </c>
      <c r="D2212" s="56"/>
      <c r="E2212" s="74"/>
    </row>
    <row r="2213" spans="1:5" ht="34.200000000000003">
      <c r="A2213" s="34"/>
      <c r="B2213" s="56"/>
      <c r="C2213" s="104" t="s">
        <v>3097</v>
      </c>
      <c r="D2213" s="99" t="s">
        <v>12</v>
      </c>
      <c r="E2213" s="113">
        <f>0.8*0.9</f>
        <v>0.72000000000000008</v>
      </c>
    </row>
    <row r="2214" spans="1:5" ht="34.200000000000003">
      <c r="A2214" s="34"/>
      <c r="B2214" s="56"/>
      <c r="C2214" s="104" t="s">
        <v>3111</v>
      </c>
      <c r="D2214" s="99" t="s">
        <v>12</v>
      </c>
      <c r="E2214" s="113">
        <f>0.8*0.9</f>
        <v>0.72000000000000008</v>
      </c>
    </row>
    <row r="2215" spans="1:5">
      <c r="A2215" s="34"/>
      <c r="B2215" s="56"/>
      <c r="C2215" s="83"/>
      <c r="D2215" s="56"/>
      <c r="E2215" s="84"/>
    </row>
    <row r="2216" spans="1:5" ht="26.4" hidden="1">
      <c r="A2216" s="34"/>
      <c r="B2216" s="56">
        <v>100160</v>
      </c>
      <c r="C2216" s="83" t="s">
        <v>1508</v>
      </c>
      <c r="D2216" s="56" t="s">
        <v>12</v>
      </c>
      <c r="E2216" s="84"/>
    </row>
    <row r="2217" spans="1:5" ht="26.4" hidden="1">
      <c r="A2217" s="37"/>
      <c r="B2217" s="51">
        <v>100201</v>
      </c>
      <c r="C2217" s="82" t="s">
        <v>1509</v>
      </c>
      <c r="D2217" s="51" t="s">
        <v>12</v>
      </c>
      <c r="E2217" s="77"/>
    </row>
    <row r="2218" spans="1:5" ht="26.4" hidden="1">
      <c r="A2218" s="37"/>
      <c r="B2218" s="51">
        <v>100202</v>
      </c>
      <c r="C2218" s="82" t="s">
        <v>1510</v>
      </c>
      <c r="D2218" s="51" t="s">
        <v>12</v>
      </c>
      <c r="E2218" s="77"/>
    </row>
    <row r="2219" spans="1:5" hidden="1">
      <c r="A2219" s="37"/>
      <c r="B2219" s="51">
        <v>100203</v>
      </c>
      <c r="C2219" s="82" t="s">
        <v>1511</v>
      </c>
      <c r="D2219" s="51" t="s">
        <v>12</v>
      </c>
      <c r="E2219" s="77"/>
    </row>
    <row r="2220" spans="1:5" hidden="1">
      <c r="A2220" s="37"/>
      <c r="B2220" s="51">
        <v>100204</v>
      </c>
      <c r="C2220" s="82" t="s">
        <v>1512</v>
      </c>
      <c r="D2220" s="51" t="s">
        <v>39</v>
      </c>
      <c r="E2220" s="77"/>
    </row>
    <row r="2221" spans="1:5" hidden="1">
      <c r="A2221" s="37"/>
      <c r="B2221" s="51">
        <v>100205</v>
      </c>
      <c r="C2221" s="82" t="s">
        <v>1513</v>
      </c>
      <c r="D2221" s="51" t="s">
        <v>39</v>
      </c>
      <c r="E2221" s="77"/>
    </row>
    <row r="2222" spans="1:5" hidden="1">
      <c r="A2222" s="37"/>
      <c r="B2222" s="51">
        <v>100301</v>
      </c>
      <c r="C2222" s="82" t="s">
        <v>1514</v>
      </c>
      <c r="D2222" s="51" t="s">
        <v>12</v>
      </c>
      <c r="E2222" s="77"/>
    </row>
    <row r="2223" spans="1:5" hidden="1">
      <c r="A2223" s="37"/>
      <c r="B2223" s="51">
        <v>100302</v>
      </c>
      <c r="C2223" s="82" t="s">
        <v>1515</v>
      </c>
      <c r="D2223" s="51" t="s">
        <v>12</v>
      </c>
      <c r="E2223" s="77"/>
    </row>
    <row r="2224" spans="1:5" hidden="1">
      <c r="A2224" s="37"/>
      <c r="B2224" s="51">
        <v>100303</v>
      </c>
      <c r="C2224" s="82" t="s">
        <v>1516</v>
      </c>
      <c r="D2224" s="51" t="s">
        <v>12</v>
      </c>
      <c r="E2224" s="77"/>
    </row>
    <row r="2225" spans="1:5" hidden="1">
      <c r="A2225" s="37"/>
      <c r="B2225" s="51">
        <v>100320</v>
      </c>
      <c r="C2225" s="82" t="s">
        <v>1517</v>
      </c>
      <c r="D2225" s="51" t="s">
        <v>12</v>
      </c>
      <c r="E2225" s="77"/>
    </row>
    <row r="2226" spans="1:5" ht="26.4" hidden="1">
      <c r="A2226" s="37"/>
      <c r="B2226" s="51">
        <v>100401</v>
      </c>
      <c r="C2226" s="82" t="s">
        <v>1518</v>
      </c>
      <c r="D2226" s="51" t="s">
        <v>12</v>
      </c>
      <c r="E2226" s="77"/>
    </row>
    <row r="2227" spans="1:5" ht="26.4" hidden="1">
      <c r="A2227" s="37"/>
      <c r="B2227" s="51">
        <v>100402</v>
      </c>
      <c r="C2227" s="82" t="s">
        <v>1519</v>
      </c>
      <c r="D2227" s="51" t="s">
        <v>12</v>
      </c>
      <c r="E2227" s="77"/>
    </row>
    <row r="2228" spans="1:5" hidden="1">
      <c r="A2228" s="37"/>
      <c r="B2228" s="51">
        <v>100403</v>
      </c>
      <c r="C2228" s="82" t="s">
        <v>1520</v>
      </c>
      <c r="D2228" s="51" t="s">
        <v>2930</v>
      </c>
      <c r="E2228" s="77"/>
    </row>
    <row r="2229" spans="1:5" hidden="1">
      <c r="A2229" s="37"/>
      <c r="B2229" s="51">
        <v>100404</v>
      </c>
      <c r="C2229" s="82" t="s">
        <v>1521</v>
      </c>
      <c r="D2229" s="51" t="s">
        <v>2930</v>
      </c>
      <c r="E2229" s="77"/>
    </row>
    <row r="2230" spans="1:5" ht="26.4" hidden="1">
      <c r="A2230" s="37"/>
      <c r="B2230" s="51">
        <v>100405</v>
      </c>
      <c r="C2230" s="82" t="s">
        <v>1522</v>
      </c>
      <c r="D2230" s="51" t="s">
        <v>12</v>
      </c>
      <c r="E2230" s="77"/>
    </row>
    <row r="2231" spans="1:5" ht="26.4" hidden="1">
      <c r="A2231" s="37"/>
      <c r="B2231" s="51">
        <v>100406</v>
      </c>
      <c r="C2231" s="82" t="s">
        <v>1523</v>
      </c>
      <c r="D2231" s="51" t="s">
        <v>12</v>
      </c>
      <c r="E2231" s="77"/>
    </row>
    <row r="2232" spans="1:5" hidden="1">
      <c r="A2232" s="37"/>
      <c r="B2232" s="51">
        <v>100501</v>
      </c>
      <c r="C2232" s="82" t="s">
        <v>1524</v>
      </c>
      <c r="D2232" s="51" t="s">
        <v>12</v>
      </c>
      <c r="E2232" s="77"/>
    </row>
    <row r="2233" spans="1:5" hidden="1">
      <c r="A2233" s="37"/>
      <c r="B2233" s="51">
        <v>100502</v>
      </c>
      <c r="C2233" s="82" t="s">
        <v>1525</v>
      </c>
      <c r="D2233" s="51" t="s">
        <v>12</v>
      </c>
      <c r="E2233" s="77"/>
    </row>
    <row r="2234" spans="1:5" ht="39.6" hidden="1">
      <c r="A2234" s="37"/>
      <c r="B2234" s="51">
        <v>100600</v>
      </c>
      <c r="C2234" s="82" t="s">
        <v>1526</v>
      </c>
      <c r="D2234" s="51" t="s">
        <v>12</v>
      </c>
      <c r="E2234" s="77"/>
    </row>
    <row r="2235" spans="1:5" ht="26.4" hidden="1">
      <c r="A2235" s="37"/>
      <c r="B2235" s="51">
        <v>100601</v>
      </c>
      <c r="C2235" s="82" t="s">
        <v>1527</v>
      </c>
      <c r="D2235" s="51" t="s">
        <v>12</v>
      </c>
      <c r="E2235" s="77"/>
    </row>
    <row r="2236" spans="1:5" ht="26.4" hidden="1">
      <c r="A2236" s="37"/>
      <c r="B2236" s="51">
        <v>100602</v>
      </c>
      <c r="C2236" s="82" t="s">
        <v>1528</v>
      </c>
      <c r="D2236" s="51" t="s">
        <v>12</v>
      </c>
      <c r="E2236" s="77"/>
    </row>
    <row r="2237" spans="1:5" hidden="1">
      <c r="A2237" s="37"/>
      <c r="B2237" s="51">
        <v>100603</v>
      </c>
      <c r="C2237" s="82" t="s">
        <v>1529</v>
      </c>
      <c r="D2237" s="51" t="s">
        <v>12</v>
      </c>
      <c r="E2237" s="77"/>
    </row>
    <row r="2238" spans="1:5" ht="26.4" hidden="1">
      <c r="A2238" s="37"/>
      <c r="B2238" s="51">
        <v>100604</v>
      </c>
      <c r="C2238" s="82" t="s">
        <v>1530</v>
      </c>
      <c r="D2238" s="51" t="s">
        <v>12</v>
      </c>
      <c r="E2238" s="77"/>
    </row>
    <row r="2239" spans="1:5" ht="26.4" hidden="1">
      <c r="A2239" s="37"/>
      <c r="B2239" s="51">
        <v>100607</v>
      </c>
      <c r="C2239" s="82" t="s">
        <v>1531</v>
      </c>
      <c r="D2239" s="51" t="s">
        <v>12</v>
      </c>
      <c r="E2239" s="77"/>
    </row>
    <row r="2240" spans="1:5" ht="26.4" hidden="1">
      <c r="A2240" s="34"/>
      <c r="B2240" s="56">
        <v>100608</v>
      </c>
      <c r="C2240" s="83" t="s">
        <v>1532</v>
      </c>
      <c r="D2240" s="56" t="s">
        <v>12</v>
      </c>
      <c r="E2240" s="84"/>
    </row>
    <row r="2241" spans="1:6" ht="39.6">
      <c r="A2241" s="91" t="s">
        <v>2826</v>
      </c>
      <c r="B2241" s="115" t="s">
        <v>2625</v>
      </c>
      <c r="C2241" s="114" t="s">
        <v>2624</v>
      </c>
      <c r="D2241" s="115" t="s">
        <v>12</v>
      </c>
      <c r="E2241" s="84">
        <f>ROUND(SUM(E2243:E2245),2)</f>
        <v>4.72</v>
      </c>
    </row>
    <row r="2242" spans="1:6">
      <c r="A2242" s="34"/>
      <c r="B2242" s="56"/>
      <c r="C2242" s="100" t="s">
        <v>2634</v>
      </c>
      <c r="D2242" s="56"/>
      <c r="E2242" s="74"/>
      <c r="F2242" s="171"/>
    </row>
    <row r="2243" spans="1:6">
      <c r="A2243" s="112"/>
      <c r="B2243" s="108"/>
      <c r="C2243" s="109"/>
      <c r="D2243" s="108"/>
      <c r="E2243" s="113"/>
    </row>
    <row r="2244" spans="1:6" ht="27" customHeight="1">
      <c r="A2244" s="112"/>
      <c r="B2244" s="108"/>
      <c r="C2244" s="109" t="s">
        <v>3123</v>
      </c>
      <c r="D2244" s="108" t="s">
        <v>12</v>
      </c>
      <c r="E2244" s="113">
        <f>2.95*0.8</f>
        <v>2.3600000000000003</v>
      </c>
    </row>
    <row r="2245" spans="1:6" ht="27" customHeight="1">
      <c r="A2245" s="112"/>
      <c r="B2245" s="108"/>
      <c r="C2245" s="109" t="s">
        <v>3124</v>
      </c>
      <c r="D2245" s="108" t="s">
        <v>12</v>
      </c>
      <c r="E2245" s="113">
        <f>2.95*0.8</f>
        <v>2.3600000000000003</v>
      </c>
    </row>
    <row r="2246" spans="1:6">
      <c r="A2246" s="34"/>
      <c r="B2246" s="115"/>
      <c r="C2246" s="114"/>
      <c r="D2246" s="115"/>
      <c r="E2246" s="84"/>
    </row>
    <row r="2247" spans="1:6" ht="39.6">
      <c r="A2247" s="91" t="s">
        <v>3637</v>
      </c>
      <c r="B2247" s="115" t="s">
        <v>2626</v>
      </c>
      <c r="C2247" s="114" t="s">
        <v>2627</v>
      </c>
      <c r="D2247" s="115" t="s">
        <v>2616</v>
      </c>
      <c r="E2247" s="84">
        <f>ROUND(SUM(E2250+E2249+E2251),2)</f>
        <v>27.6</v>
      </c>
    </row>
    <row r="2248" spans="1:6">
      <c r="A2248" s="34"/>
      <c r="B2248" s="56"/>
      <c r="C2248" s="100" t="s">
        <v>2634</v>
      </c>
      <c r="D2248" s="56"/>
      <c r="E2248" s="74"/>
      <c r="F2248" s="171"/>
    </row>
    <row r="2249" spans="1:6" ht="22.8">
      <c r="A2249" s="34"/>
      <c r="B2249" s="115"/>
      <c r="C2249" s="109" t="s">
        <v>3134</v>
      </c>
      <c r="D2249" s="108" t="s">
        <v>2616</v>
      </c>
      <c r="E2249" s="113">
        <f>0.9*3</f>
        <v>2.7</v>
      </c>
      <c r="F2249" s="171"/>
    </row>
    <row r="2250" spans="1:6">
      <c r="A2250" s="112"/>
      <c r="B2250" s="108"/>
      <c r="C2250" s="109" t="s">
        <v>3080</v>
      </c>
      <c r="D2250" s="108" t="s">
        <v>2616</v>
      </c>
      <c r="E2250" s="113">
        <f>8*3</f>
        <v>24</v>
      </c>
    </row>
    <row r="2251" spans="1:6" ht="34.200000000000003">
      <c r="A2251" s="112"/>
      <c r="B2251" s="108"/>
      <c r="C2251" s="109" t="s">
        <v>3221</v>
      </c>
      <c r="D2251" s="108" t="s">
        <v>2616</v>
      </c>
      <c r="E2251" s="113">
        <f>0.9</f>
        <v>0.9</v>
      </c>
    </row>
    <row r="2252" spans="1:6">
      <c r="A2252" s="34"/>
      <c r="B2252" s="115"/>
      <c r="C2252" s="114"/>
      <c r="D2252" s="115"/>
      <c r="E2252" s="84"/>
    </row>
    <row r="2253" spans="1:6" ht="26.4">
      <c r="A2253" s="91" t="s">
        <v>3638</v>
      </c>
      <c r="B2253" s="110" t="s">
        <v>3127</v>
      </c>
      <c r="C2253" s="111" t="s">
        <v>3128</v>
      </c>
      <c r="D2253" s="110" t="s">
        <v>2487</v>
      </c>
      <c r="E2253" s="84">
        <f>ROUND(SUM(E2254+E2255+E2256),2)</f>
        <v>46.1</v>
      </c>
    </row>
    <row r="2254" spans="1:6">
      <c r="A2254" s="34"/>
      <c r="B2254" s="110"/>
      <c r="C2254" s="109" t="s">
        <v>3129</v>
      </c>
      <c r="D2254" s="108" t="s">
        <v>2114</v>
      </c>
      <c r="E2254" s="113">
        <f>4+2.3</f>
        <v>6.3</v>
      </c>
    </row>
    <row r="2255" spans="1:6" ht="22.8">
      <c r="A2255" s="112"/>
      <c r="B2255" s="108"/>
      <c r="C2255" s="109" t="s">
        <v>3130</v>
      </c>
      <c r="D2255" s="108" t="s">
        <v>2114</v>
      </c>
      <c r="E2255" s="113">
        <f xml:space="preserve"> 2.85 + 2.65 + 2.85 + 2.3 + 2.85 + 2.3 + 2.85 + 4 + 2.3 + 2.85</f>
        <v>27.8</v>
      </c>
    </row>
    <row r="2256" spans="1:6">
      <c r="A2256" s="34"/>
      <c r="B2256" s="110"/>
      <c r="C2256" s="109" t="s">
        <v>3150</v>
      </c>
      <c r="D2256" s="108" t="s">
        <v>2114</v>
      </c>
      <c r="E2256" s="113">
        <f>(3*2)+(4*1.5)</f>
        <v>12</v>
      </c>
    </row>
    <row r="2257" spans="1:5">
      <c r="A2257" s="34"/>
      <c r="B2257" s="110"/>
      <c r="C2257" s="111"/>
      <c r="D2257" s="110"/>
      <c r="E2257" s="84"/>
    </row>
    <row r="2258" spans="1:5">
      <c r="A2258" s="34"/>
      <c r="B2258" s="115"/>
      <c r="C2258" s="114"/>
      <c r="D2258" s="115"/>
      <c r="E2258" s="84"/>
    </row>
    <row r="2259" spans="1:5">
      <c r="A2259" s="37"/>
      <c r="B2259" s="53"/>
      <c r="C2259" s="27"/>
      <c r="D2259" s="53"/>
      <c r="E2259" s="77"/>
    </row>
    <row r="2260" spans="1:5">
      <c r="A2260" s="32"/>
      <c r="B2260" s="54">
        <v>110000</v>
      </c>
      <c r="C2260" s="29" t="s">
        <v>1533</v>
      </c>
      <c r="D2260" s="54"/>
      <c r="E2260" s="78"/>
    </row>
    <row r="2261" spans="1:5" ht="26.4" hidden="1">
      <c r="A2261" s="37"/>
      <c r="B2261" s="51">
        <v>110105</v>
      </c>
      <c r="C2261" s="82" t="s">
        <v>1534</v>
      </c>
      <c r="D2261" s="51" t="s">
        <v>12</v>
      </c>
      <c r="E2261" s="77"/>
    </row>
    <row r="2262" spans="1:5" ht="26.4" hidden="1">
      <c r="A2262" s="37"/>
      <c r="B2262" s="51">
        <v>110106</v>
      </c>
      <c r="C2262" s="82" t="s">
        <v>1535</v>
      </c>
      <c r="D2262" s="51" t="s">
        <v>12</v>
      </c>
      <c r="E2262" s="77"/>
    </row>
    <row r="2263" spans="1:5" ht="26.4" hidden="1">
      <c r="A2263" s="37"/>
      <c r="B2263" s="51">
        <v>110107</v>
      </c>
      <c r="C2263" s="82" t="s">
        <v>1536</v>
      </c>
      <c r="D2263" s="51" t="s">
        <v>12</v>
      </c>
      <c r="E2263" s="77"/>
    </row>
    <row r="2264" spans="1:5">
      <c r="A2264" s="32"/>
      <c r="B2264" s="54">
        <v>120000</v>
      </c>
      <c r="C2264" s="29" t="s">
        <v>1537</v>
      </c>
      <c r="D2264" s="54"/>
      <c r="E2264" s="78"/>
    </row>
    <row r="2265" spans="1:5" hidden="1">
      <c r="A2265" s="37"/>
      <c r="B2265" s="51">
        <v>120101</v>
      </c>
      <c r="C2265" s="5" t="s">
        <v>1538</v>
      </c>
      <c r="D2265" s="51" t="s">
        <v>12</v>
      </c>
      <c r="E2265" s="77"/>
    </row>
    <row r="2266" spans="1:5" hidden="1">
      <c r="A2266" s="37"/>
      <c r="B2266" s="51">
        <v>120102</v>
      </c>
      <c r="C2266" s="82" t="s">
        <v>1539</v>
      </c>
      <c r="D2266" s="51" t="s">
        <v>12</v>
      </c>
      <c r="E2266" s="77"/>
    </row>
    <row r="2267" spans="1:5" hidden="1">
      <c r="A2267" s="37"/>
      <c r="B2267" s="51">
        <v>120104</v>
      </c>
      <c r="C2267" s="82" t="s">
        <v>1540</v>
      </c>
      <c r="D2267" s="51" t="s">
        <v>12</v>
      </c>
      <c r="E2267" s="77"/>
    </row>
    <row r="2268" spans="1:5" hidden="1">
      <c r="A2268" s="37"/>
      <c r="B2268" s="51">
        <v>120107</v>
      </c>
      <c r="C2268" s="82" t="s">
        <v>1541</v>
      </c>
      <c r="D2268" s="51" t="s">
        <v>12</v>
      </c>
      <c r="E2268" s="77"/>
    </row>
    <row r="2269" spans="1:5" hidden="1">
      <c r="A2269" s="37"/>
      <c r="B2269" s="51">
        <v>120205</v>
      </c>
      <c r="C2269" s="82" t="s">
        <v>1542</v>
      </c>
      <c r="D2269" s="51" t="s">
        <v>12</v>
      </c>
      <c r="E2269" s="77"/>
    </row>
    <row r="2270" spans="1:5" hidden="1">
      <c r="A2270" s="37"/>
      <c r="B2270" s="51">
        <v>120206</v>
      </c>
      <c r="C2270" s="82" t="s">
        <v>1543</v>
      </c>
      <c r="D2270" s="51" t="s">
        <v>12</v>
      </c>
      <c r="E2270" s="77"/>
    </row>
    <row r="2271" spans="1:5" hidden="1">
      <c r="A2271" s="37"/>
      <c r="B2271" s="51">
        <v>120207</v>
      </c>
      <c r="C2271" s="82" t="s">
        <v>1544</v>
      </c>
      <c r="D2271" s="51" t="s">
        <v>12</v>
      </c>
      <c r="E2271" s="77"/>
    </row>
    <row r="2272" spans="1:5" hidden="1">
      <c r="A2272" s="37"/>
      <c r="B2272" s="51">
        <v>120208</v>
      </c>
      <c r="C2272" s="82" t="s">
        <v>1545</v>
      </c>
      <c r="D2272" s="51" t="s">
        <v>12</v>
      </c>
      <c r="E2272" s="77"/>
    </row>
    <row r="2273" spans="1:5" hidden="1">
      <c r="A2273" s="37"/>
      <c r="B2273" s="51">
        <v>120209</v>
      </c>
      <c r="C2273" s="82" t="s">
        <v>1546</v>
      </c>
      <c r="D2273" s="51" t="s">
        <v>12</v>
      </c>
      <c r="E2273" s="77"/>
    </row>
    <row r="2274" spans="1:5" ht="26.4" hidden="1">
      <c r="A2274" s="37"/>
      <c r="B2274" s="51">
        <v>120210</v>
      </c>
      <c r="C2274" s="82" t="s">
        <v>1547</v>
      </c>
      <c r="D2274" s="51" t="s">
        <v>1548</v>
      </c>
      <c r="E2274" s="77"/>
    </row>
    <row r="2275" spans="1:5" ht="26.4" hidden="1">
      <c r="A2275" s="37"/>
      <c r="B2275" s="51">
        <v>120212</v>
      </c>
      <c r="C2275" s="82" t="s">
        <v>1549</v>
      </c>
      <c r="D2275" s="51" t="s">
        <v>12</v>
      </c>
      <c r="E2275" s="77"/>
    </row>
    <row r="2276" spans="1:5" hidden="1">
      <c r="A2276" s="37"/>
      <c r="B2276" s="51">
        <v>120901</v>
      </c>
      <c r="C2276" s="82" t="s">
        <v>1550</v>
      </c>
      <c r="D2276" s="51" t="s">
        <v>12</v>
      </c>
      <c r="E2276" s="77"/>
    </row>
    <row r="2277" spans="1:5" hidden="1">
      <c r="A2277" s="37"/>
      <c r="B2277" s="51">
        <v>120902</v>
      </c>
      <c r="C2277" s="82" t="s">
        <v>1551</v>
      </c>
      <c r="D2277" s="51" t="s">
        <v>12</v>
      </c>
      <c r="E2277" s="77"/>
    </row>
    <row r="2278" spans="1:5" ht="26.4" hidden="1">
      <c r="A2278" s="37"/>
      <c r="B2278" s="51">
        <v>121001</v>
      </c>
      <c r="C2278" s="82" t="s">
        <v>1552</v>
      </c>
      <c r="D2278" s="51" t="s">
        <v>12</v>
      </c>
      <c r="E2278" s="77"/>
    </row>
    <row r="2279" spans="1:5" ht="26.4" hidden="1">
      <c r="A2279" s="37"/>
      <c r="B2279" s="51">
        <v>121101</v>
      </c>
      <c r="C2279" s="82" t="s">
        <v>1553</v>
      </c>
      <c r="D2279" s="51" t="s">
        <v>12</v>
      </c>
      <c r="E2279" s="77"/>
    </row>
    <row r="2280" spans="1:5" ht="52.8" hidden="1">
      <c r="A2280" s="37"/>
      <c r="B2280" s="51">
        <v>121105</v>
      </c>
      <c r="C2280" s="82" t="s">
        <v>1554</v>
      </c>
      <c r="D2280" s="51" t="s">
        <v>12</v>
      </c>
      <c r="E2280" s="77"/>
    </row>
    <row r="2281" spans="1:5">
      <c r="A2281" s="32"/>
      <c r="B2281" s="55">
        <v>130000</v>
      </c>
      <c r="C2281" s="33" t="s">
        <v>1555</v>
      </c>
      <c r="D2281" s="55"/>
      <c r="E2281" s="78"/>
    </row>
    <row r="2282" spans="1:5" ht="26.4" hidden="1">
      <c r="A2282" s="37"/>
      <c r="B2282" s="51">
        <v>130103</v>
      </c>
      <c r="C2282" s="82" t="s">
        <v>1556</v>
      </c>
      <c r="D2282" s="51" t="s">
        <v>12</v>
      </c>
      <c r="E2282" s="77"/>
    </row>
    <row r="2283" spans="1:5" ht="39.6" hidden="1">
      <c r="A2283" s="37"/>
      <c r="B2283" s="51">
        <v>130107</v>
      </c>
      <c r="C2283" s="82" t="s">
        <v>1557</v>
      </c>
      <c r="D2283" s="51" t="s">
        <v>12</v>
      </c>
      <c r="E2283" s="77"/>
    </row>
    <row r="2284" spans="1:5" ht="26.4" hidden="1">
      <c r="A2284" s="37"/>
      <c r="B2284" s="51">
        <v>130150</v>
      </c>
      <c r="C2284" s="82" t="s">
        <v>1558</v>
      </c>
      <c r="D2284" s="51" t="s">
        <v>12</v>
      </c>
      <c r="E2284" s="77"/>
    </row>
    <row r="2285" spans="1:5" hidden="1">
      <c r="A2285" s="37"/>
      <c r="B2285" s="51">
        <v>130152</v>
      </c>
      <c r="C2285" s="82" t="s">
        <v>1559</v>
      </c>
      <c r="D2285" s="51" t="s">
        <v>12</v>
      </c>
      <c r="E2285" s="77"/>
    </row>
    <row r="2286" spans="1:5" ht="26.4" hidden="1">
      <c r="A2286" s="37"/>
      <c r="B2286" s="51">
        <v>130160</v>
      </c>
      <c r="C2286" s="82" t="s">
        <v>1560</v>
      </c>
      <c r="D2286" s="51" t="s">
        <v>30</v>
      </c>
      <c r="E2286" s="77"/>
    </row>
    <row r="2287" spans="1:5">
      <c r="A2287" s="32"/>
      <c r="B2287" s="54">
        <v>140000</v>
      </c>
      <c r="C2287" s="29" t="s">
        <v>1561</v>
      </c>
      <c r="D2287" s="54"/>
      <c r="E2287" s="78"/>
    </row>
    <row r="2288" spans="1:5" ht="26.4" hidden="1">
      <c r="A2288" s="37"/>
      <c r="B2288" s="51">
        <v>140101</v>
      </c>
      <c r="C2288" s="82" t="s">
        <v>1562</v>
      </c>
      <c r="D2288" s="51" t="s">
        <v>12</v>
      </c>
      <c r="E2288" s="77"/>
    </row>
    <row r="2289" spans="1:5" ht="26.4" hidden="1">
      <c r="A2289" s="37"/>
      <c r="B2289" s="51">
        <v>140102</v>
      </c>
      <c r="C2289" s="82" t="s">
        <v>1563</v>
      </c>
      <c r="D2289" s="51" t="s">
        <v>12</v>
      </c>
      <c r="E2289" s="77"/>
    </row>
    <row r="2290" spans="1:5" ht="26.4" hidden="1">
      <c r="A2290" s="37"/>
      <c r="B2290" s="51">
        <v>140103</v>
      </c>
      <c r="C2290" s="82" t="s">
        <v>1564</v>
      </c>
      <c r="D2290" s="51" t="s">
        <v>12</v>
      </c>
      <c r="E2290" s="77"/>
    </row>
    <row r="2291" spans="1:5" hidden="1">
      <c r="A2291" s="37"/>
      <c r="B2291" s="51">
        <v>140111</v>
      </c>
      <c r="C2291" s="82" t="s">
        <v>1565</v>
      </c>
      <c r="D2291" s="51" t="s">
        <v>12</v>
      </c>
      <c r="E2291" s="77"/>
    </row>
    <row r="2292" spans="1:5" hidden="1">
      <c r="A2292" s="37"/>
      <c r="B2292" s="51">
        <v>140112</v>
      </c>
      <c r="C2292" s="82" t="s">
        <v>1566</v>
      </c>
      <c r="D2292" s="51" t="s">
        <v>12</v>
      </c>
      <c r="E2292" s="77"/>
    </row>
    <row r="2293" spans="1:5" hidden="1">
      <c r="A2293" s="37"/>
      <c r="B2293" s="51">
        <v>140113</v>
      </c>
      <c r="C2293" s="82" t="s">
        <v>1567</v>
      </c>
      <c r="D2293" s="51" t="s">
        <v>12</v>
      </c>
      <c r="E2293" s="77"/>
    </row>
    <row r="2294" spans="1:5" hidden="1">
      <c r="A2294" s="37"/>
      <c r="B2294" s="51">
        <v>140118</v>
      </c>
      <c r="C2294" s="82" t="s">
        <v>1568</v>
      </c>
      <c r="D2294" s="51" t="s">
        <v>12</v>
      </c>
      <c r="E2294" s="77"/>
    </row>
    <row r="2295" spans="1:5" hidden="1">
      <c r="A2295" s="37"/>
      <c r="B2295" s="51">
        <v>140119</v>
      </c>
      <c r="C2295" s="82" t="s">
        <v>1569</v>
      </c>
      <c r="D2295" s="51" t="s">
        <v>12</v>
      </c>
      <c r="E2295" s="77"/>
    </row>
    <row r="2296" spans="1:5" ht="39.6" hidden="1">
      <c r="A2296" s="37"/>
      <c r="B2296" s="51">
        <v>140200</v>
      </c>
      <c r="C2296" s="82" t="s">
        <v>1570</v>
      </c>
      <c r="D2296" s="51" t="s">
        <v>12</v>
      </c>
      <c r="E2296" s="77"/>
    </row>
    <row r="2297" spans="1:5" ht="26.4" hidden="1">
      <c r="A2297" s="37"/>
      <c r="B2297" s="51">
        <v>140201</v>
      </c>
      <c r="C2297" s="82" t="s">
        <v>1571</v>
      </c>
      <c r="D2297" s="51" t="s">
        <v>12</v>
      </c>
      <c r="E2297" s="77"/>
    </row>
    <row r="2298" spans="1:5" hidden="1">
      <c r="A2298" s="37"/>
      <c r="B2298" s="51">
        <v>140202</v>
      </c>
      <c r="C2298" s="82" t="s">
        <v>1572</v>
      </c>
      <c r="D2298" s="51" t="s">
        <v>12</v>
      </c>
      <c r="E2298" s="77"/>
    </row>
    <row r="2299" spans="1:5" hidden="1">
      <c r="A2299" s="37"/>
      <c r="B2299" s="51">
        <v>140203</v>
      </c>
      <c r="C2299" s="82" t="s">
        <v>1573</v>
      </c>
      <c r="D2299" s="51" t="s">
        <v>12</v>
      </c>
      <c r="E2299" s="77"/>
    </row>
    <row r="2300" spans="1:5" hidden="1">
      <c r="A2300" s="37"/>
      <c r="B2300" s="51">
        <v>140205</v>
      </c>
      <c r="C2300" s="82" t="s">
        <v>1574</v>
      </c>
      <c r="D2300" s="51" t="s">
        <v>12</v>
      </c>
      <c r="E2300" s="77"/>
    </row>
    <row r="2301" spans="1:5" hidden="1">
      <c r="A2301" s="37"/>
      <c r="B2301" s="51">
        <v>140206</v>
      </c>
      <c r="C2301" s="82" t="s">
        <v>1575</v>
      </c>
      <c r="D2301" s="51" t="s">
        <v>136</v>
      </c>
      <c r="E2301" s="77"/>
    </row>
    <row r="2302" spans="1:5" hidden="1">
      <c r="A2302" s="37"/>
      <c r="B2302" s="51">
        <v>140301</v>
      </c>
      <c r="C2302" s="82" t="s">
        <v>1576</v>
      </c>
      <c r="D2302" s="51" t="s">
        <v>12</v>
      </c>
      <c r="E2302" s="77"/>
    </row>
    <row r="2303" spans="1:5">
      <c r="A2303" s="32">
        <v>8</v>
      </c>
      <c r="B2303" s="54">
        <v>150000</v>
      </c>
      <c r="C2303" s="29" t="s">
        <v>1577</v>
      </c>
      <c r="D2303" s="54"/>
      <c r="E2303" s="78"/>
    </row>
    <row r="2304" spans="1:5" ht="26.4">
      <c r="A2304" s="91" t="s">
        <v>3639</v>
      </c>
      <c r="B2304" s="51">
        <v>150103</v>
      </c>
      <c r="C2304" s="5" t="s">
        <v>1578</v>
      </c>
      <c r="D2304" s="51" t="s">
        <v>167</v>
      </c>
      <c r="E2304" s="77">
        <f>ROUND((SUM(E2305)),2)</f>
        <v>39.49</v>
      </c>
    </row>
    <row r="2305" spans="1:6" ht="22.8">
      <c r="A2305" s="34"/>
      <c r="B2305" s="51"/>
      <c r="C2305" s="162" t="s">
        <v>3899</v>
      </c>
      <c r="D2305" s="99" t="s">
        <v>167</v>
      </c>
      <c r="E2305" s="113">
        <v>39.49</v>
      </c>
    </row>
    <row r="2306" spans="1:6">
      <c r="A2306" s="34"/>
      <c r="B2306" s="51"/>
      <c r="C2306" s="5"/>
      <c r="D2306" s="51"/>
      <c r="E2306" s="77"/>
    </row>
    <row r="2307" spans="1:6" ht="26.4">
      <c r="A2307" s="91" t="s">
        <v>3640</v>
      </c>
      <c r="B2307" s="56">
        <v>150204</v>
      </c>
      <c r="C2307" s="83" t="s">
        <v>1579</v>
      </c>
      <c r="D2307" s="56" t="s">
        <v>167</v>
      </c>
      <c r="E2307" s="84">
        <f>ROUND(SUM(E2309:E2316),2)</f>
        <v>9958.57</v>
      </c>
      <c r="F2307" s="166"/>
    </row>
    <row r="2308" spans="1:6">
      <c r="A2308" s="91"/>
      <c r="B2308" s="56"/>
      <c r="C2308" s="102" t="s">
        <v>3371</v>
      </c>
      <c r="D2308" s="56"/>
      <c r="E2308" s="84"/>
    </row>
    <row r="2309" spans="1:6">
      <c r="A2309" s="93"/>
      <c r="B2309" s="99"/>
      <c r="C2309" s="102" t="s">
        <v>3028</v>
      </c>
      <c r="D2309" s="99" t="s">
        <v>167</v>
      </c>
      <c r="E2309" s="113">
        <v>871.6</v>
      </c>
    </row>
    <row r="2310" spans="1:6" ht="45.6">
      <c r="A2310" s="93"/>
      <c r="B2310" s="99"/>
      <c r="C2310" s="102" t="s">
        <v>2891</v>
      </c>
      <c r="D2310" s="99" t="s">
        <v>167</v>
      </c>
      <c r="E2310" s="113">
        <f>1211.23*3.8</f>
        <v>4602.674</v>
      </c>
    </row>
    <row r="2311" spans="1:6" ht="22.8">
      <c r="A2311" s="93"/>
      <c r="B2311" s="99"/>
      <c r="C2311" s="102" t="s">
        <v>3029</v>
      </c>
      <c r="D2311" s="99" t="s">
        <v>167</v>
      </c>
      <c r="E2311" s="113">
        <f>1648*0.0159</f>
        <v>26.203200000000002</v>
      </c>
    </row>
    <row r="2312" spans="1:6" ht="22.8">
      <c r="A2312" s="93"/>
      <c r="B2312" s="99"/>
      <c r="C2312" s="102" t="s">
        <v>3030</v>
      </c>
      <c r="D2312" s="99" t="s">
        <v>167</v>
      </c>
      <c r="E2312" s="227">
        <f>1648*0.01429</f>
        <v>23.54992</v>
      </c>
      <c r="F2312" s="229"/>
    </row>
    <row r="2313" spans="1:6">
      <c r="A2313" s="93"/>
      <c r="B2313" s="99"/>
      <c r="C2313" s="102"/>
      <c r="D2313" s="99"/>
      <c r="E2313" s="227"/>
      <c r="F2313" s="229"/>
    </row>
    <row r="2314" spans="1:6">
      <c r="A2314" s="93"/>
      <c r="B2314" s="99"/>
      <c r="C2314" s="102" t="s">
        <v>3370</v>
      </c>
      <c r="D2314" s="99"/>
      <c r="E2314" s="227"/>
      <c r="F2314" s="348"/>
    </row>
    <row r="2315" spans="1:6">
      <c r="A2315" s="93"/>
      <c r="B2315" s="99"/>
      <c r="C2315" s="102" t="s">
        <v>3372</v>
      </c>
      <c r="D2315" s="99" t="s">
        <v>167</v>
      </c>
      <c r="E2315" s="227">
        <v>4391.84</v>
      </c>
      <c r="F2315" s="230"/>
    </row>
    <row r="2316" spans="1:6">
      <c r="A2316" s="93"/>
      <c r="B2316" s="99"/>
      <c r="C2316" s="102" t="s">
        <v>3373</v>
      </c>
      <c r="D2316" s="99" t="s">
        <v>167</v>
      </c>
      <c r="E2316" s="227">
        <v>42.7</v>
      </c>
      <c r="F2316" s="230"/>
    </row>
    <row r="2317" spans="1:6">
      <c r="A2317" s="93"/>
      <c r="B2317" s="99"/>
      <c r="C2317" s="102"/>
      <c r="D2317" s="99"/>
      <c r="E2317" s="227"/>
      <c r="F2317" s="229"/>
    </row>
    <row r="2318" spans="1:6" ht="52.8">
      <c r="A2318" s="91" t="s">
        <v>3641</v>
      </c>
      <c r="B2318" s="97" t="s">
        <v>2750</v>
      </c>
      <c r="C2318" s="124" t="s">
        <v>2751</v>
      </c>
      <c r="D2318" s="97" t="s">
        <v>2752</v>
      </c>
      <c r="E2318" s="228">
        <f>ROUND(SUM(E2320),2)</f>
        <v>1283.26</v>
      </c>
      <c r="F2318" s="229"/>
    </row>
    <row r="2319" spans="1:6">
      <c r="A2319" s="91"/>
      <c r="B2319" s="97"/>
      <c r="C2319" s="102" t="s">
        <v>3371</v>
      </c>
      <c r="D2319" s="97"/>
      <c r="E2319" s="228"/>
      <c r="F2319" s="229"/>
    </row>
    <row r="2320" spans="1:6" ht="34.200000000000003">
      <c r="A2320" s="112"/>
      <c r="B2320" s="99"/>
      <c r="C2320" s="102" t="s">
        <v>2892</v>
      </c>
      <c r="D2320" s="99" t="s">
        <v>2752</v>
      </c>
      <c r="E2320" s="227">
        <f>505.22*2.54</f>
        <v>1283.2588000000001</v>
      </c>
      <c r="F2320" s="229"/>
    </row>
    <row r="2321" spans="1:5">
      <c r="A2321" s="112"/>
      <c r="B2321" s="99"/>
      <c r="C2321" s="102"/>
      <c r="D2321" s="99"/>
      <c r="E2321" s="113"/>
    </row>
    <row r="2322" spans="1:5">
      <c r="A2322" s="91" t="s">
        <v>3642</v>
      </c>
      <c r="B2322" s="97">
        <v>120101</v>
      </c>
      <c r="C2322" s="124" t="s">
        <v>1538</v>
      </c>
      <c r="D2322" s="97" t="s">
        <v>2616</v>
      </c>
      <c r="E2322" s="84">
        <f>ROUND(SUM(E2323:E2324),2)</f>
        <v>0.54</v>
      </c>
    </row>
    <row r="2323" spans="1:5">
      <c r="A2323" s="91"/>
      <c r="B2323" s="97"/>
      <c r="C2323" s="102" t="s">
        <v>3370</v>
      </c>
      <c r="D2323" s="99"/>
      <c r="E2323" s="113"/>
    </row>
    <row r="2324" spans="1:5" ht="37.950000000000003" customHeight="1">
      <c r="A2324" s="91"/>
      <c r="B2324" s="97"/>
      <c r="C2324" s="102" t="s">
        <v>3900</v>
      </c>
      <c r="D2324" s="99" t="s">
        <v>3040</v>
      </c>
      <c r="E2324" s="113">
        <f>0.2*0.08*34</f>
        <v>0.54400000000000004</v>
      </c>
    </row>
    <row r="2325" spans="1:5">
      <c r="A2325" s="91"/>
      <c r="B2325" s="97"/>
      <c r="C2325" s="102"/>
      <c r="D2325" s="99"/>
      <c r="E2325" s="113"/>
    </row>
    <row r="2326" spans="1:5" ht="26.4">
      <c r="A2326" s="91" t="s">
        <v>3643</v>
      </c>
      <c r="B2326" s="97" t="s">
        <v>3376</v>
      </c>
      <c r="C2326" s="124" t="s">
        <v>3377</v>
      </c>
      <c r="D2326" s="97" t="s">
        <v>2544</v>
      </c>
      <c r="E2326" s="84">
        <f>ROUND(SUM(E2327:E2328),2)</f>
        <v>0.13</v>
      </c>
    </row>
    <row r="2327" spans="1:5">
      <c r="A2327" s="91"/>
      <c r="B2327" s="97"/>
      <c r="C2327" s="102" t="s">
        <v>3370</v>
      </c>
      <c r="D2327" s="99"/>
      <c r="E2327" s="113"/>
    </row>
    <row r="2328" spans="1:5" ht="34.200000000000003">
      <c r="A2328" s="34"/>
      <c r="B2328" s="56"/>
      <c r="C2328" s="102" t="s">
        <v>3742</v>
      </c>
      <c r="D2328" s="99" t="s">
        <v>2894</v>
      </c>
      <c r="E2328" s="113">
        <f>0.2*0.23*0.08*34</f>
        <v>0.12512000000000001</v>
      </c>
    </row>
    <row r="2329" spans="1:5">
      <c r="A2329" s="32">
        <v>9</v>
      </c>
      <c r="B2329" s="55">
        <v>160000</v>
      </c>
      <c r="C2329" s="33" t="s">
        <v>1580</v>
      </c>
      <c r="D2329" s="55"/>
      <c r="E2329" s="78"/>
    </row>
    <row r="2330" spans="1:5" hidden="1">
      <c r="A2330" s="34"/>
      <c r="B2330" s="51">
        <v>160100</v>
      </c>
      <c r="C2330" s="82" t="s">
        <v>1581</v>
      </c>
      <c r="D2330" s="51" t="s">
        <v>12</v>
      </c>
      <c r="E2330" s="86"/>
    </row>
    <row r="2331" spans="1:5" hidden="1">
      <c r="A2331" s="34"/>
      <c r="B2331" s="51">
        <v>160101</v>
      </c>
      <c r="C2331" s="82" t="s">
        <v>1582</v>
      </c>
      <c r="D2331" s="51" t="s">
        <v>39</v>
      </c>
      <c r="E2331" s="77"/>
    </row>
    <row r="2332" spans="1:5" hidden="1">
      <c r="A2332" s="34"/>
      <c r="B2332" s="51">
        <v>160301</v>
      </c>
      <c r="C2332" s="82" t="s">
        <v>1583</v>
      </c>
      <c r="D2332" s="51" t="s">
        <v>12</v>
      </c>
      <c r="E2332" s="77"/>
    </row>
    <row r="2333" spans="1:5" hidden="1">
      <c r="A2333" s="34"/>
      <c r="B2333" s="51">
        <v>160302</v>
      </c>
      <c r="C2333" s="82" t="s">
        <v>1584</v>
      </c>
      <c r="D2333" s="51" t="s">
        <v>39</v>
      </c>
      <c r="E2333" s="77"/>
    </row>
    <row r="2334" spans="1:5" hidden="1">
      <c r="A2334" s="34"/>
      <c r="B2334" s="51">
        <v>160401</v>
      </c>
      <c r="C2334" s="82" t="s">
        <v>1585</v>
      </c>
      <c r="D2334" s="51" t="s">
        <v>12</v>
      </c>
      <c r="E2334" s="77"/>
    </row>
    <row r="2335" spans="1:5" hidden="1">
      <c r="A2335" s="34"/>
      <c r="B2335" s="51">
        <v>160402</v>
      </c>
      <c r="C2335" s="82" t="s">
        <v>1586</v>
      </c>
      <c r="D2335" s="51" t="s">
        <v>39</v>
      </c>
      <c r="E2335" s="77"/>
    </row>
    <row r="2336" spans="1:5" hidden="1">
      <c r="A2336" s="34"/>
      <c r="B2336" s="51">
        <v>160403</v>
      </c>
      <c r="C2336" s="82" t="s">
        <v>1587</v>
      </c>
      <c r="D2336" s="51" t="s">
        <v>39</v>
      </c>
      <c r="E2336" s="77"/>
    </row>
    <row r="2337" spans="1:6" hidden="1">
      <c r="A2337" s="34"/>
      <c r="B2337" s="51">
        <v>160404</v>
      </c>
      <c r="C2337" s="82" t="s">
        <v>1588</v>
      </c>
      <c r="D2337" s="51" t="s">
        <v>136</v>
      </c>
      <c r="E2337" s="77"/>
    </row>
    <row r="2338" spans="1:6" hidden="1">
      <c r="A2338" s="34"/>
      <c r="B2338" s="51">
        <v>160421</v>
      </c>
      <c r="C2338" s="82" t="s">
        <v>1589</v>
      </c>
      <c r="D2338" s="51" t="s">
        <v>12</v>
      </c>
      <c r="E2338" s="77"/>
    </row>
    <row r="2339" spans="1:6" hidden="1">
      <c r="A2339" s="34"/>
      <c r="B2339" s="56">
        <v>160501</v>
      </c>
      <c r="C2339" s="83" t="s">
        <v>1590</v>
      </c>
      <c r="D2339" s="56" t="s">
        <v>12</v>
      </c>
      <c r="E2339" s="84"/>
    </row>
    <row r="2340" spans="1:6" hidden="1">
      <c r="A2340" s="34"/>
      <c r="B2340" s="56">
        <v>160502</v>
      </c>
      <c r="C2340" s="83" t="s">
        <v>1591</v>
      </c>
      <c r="D2340" s="56" t="s">
        <v>39</v>
      </c>
      <c r="E2340" s="84"/>
    </row>
    <row r="2341" spans="1:6">
      <c r="A2341" s="91" t="s">
        <v>2827</v>
      </c>
      <c r="B2341" s="56">
        <v>160600</v>
      </c>
      <c r="C2341" s="83" t="s">
        <v>1592</v>
      </c>
      <c r="D2341" s="56" t="s">
        <v>12</v>
      </c>
      <c r="E2341" s="84">
        <f>ROUND(E2343+E2342,2)</f>
        <v>268.47000000000003</v>
      </c>
      <c r="F2341" s="164"/>
    </row>
    <row r="2342" spans="1:6" ht="34.200000000000003">
      <c r="A2342" s="91"/>
      <c r="B2342" s="56"/>
      <c r="C2342" s="104" t="s">
        <v>4131</v>
      </c>
      <c r="D2342" s="99" t="s">
        <v>12</v>
      </c>
      <c r="E2342" s="84">
        <f>(70.85*2)*(0.3+0.3+0.4+0.05+0.02)</f>
        <v>151.619</v>
      </c>
      <c r="F2342" s="164"/>
    </row>
    <row r="2343" spans="1:6" ht="34.200000000000003">
      <c r="A2343" s="93"/>
      <c r="B2343" s="99"/>
      <c r="C2343" s="104" t="s">
        <v>4132</v>
      </c>
      <c r="D2343" s="99" t="s">
        <v>12</v>
      </c>
      <c r="E2343" s="113">
        <f>(25.85 + 45.5 + 45.5)*(0.3+0.3+0.3+0.05+0.05)</f>
        <v>116.85</v>
      </c>
      <c r="F2343" s="173"/>
    </row>
    <row r="2344" spans="1:6">
      <c r="A2344" s="91"/>
      <c r="B2344" s="56"/>
      <c r="C2344" s="83"/>
      <c r="D2344" s="56"/>
      <c r="E2344" s="84"/>
    </row>
    <row r="2345" spans="1:6" hidden="1">
      <c r="A2345" s="91"/>
      <c r="B2345" s="56">
        <v>160601</v>
      </c>
      <c r="C2345" s="83" t="s">
        <v>1592</v>
      </c>
      <c r="D2345" s="56" t="s">
        <v>39</v>
      </c>
      <c r="E2345" s="84"/>
    </row>
    <row r="2346" spans="1:6" s="47" customFormat="1" ht="12" hidden="1">
      <c r="A2346" s="93"/>
      <c r="B2346" s="99"/>
      <c r="C2346" s="104"/>
      <c r="D2346" s="99"/>
      <c r="E2346" s="113"/>
      <c r="F2346" s="163"/>
    </row>
    <row r="2347" spans="1:6" hidden="1">
      <c r="A2347" s="91"/>
      <c r="B2347" s="56"/>
      <c r="C2347" s="83"/>
      <c r="D2347" s="56"/>
      <c r="E2347" s="84"/>
    </row>
    <row r="2348" spans="1:6">
      <c r="A2348" s="91" t="s">
        <v>2828</v>
      </c>
      <c r="B2348" s="56">
        <v>160602</v>
      </c>
      <c r="C2348" s="83" t="s">
        <v>1593</v>
      </c>
      <c r="D2348" s="56" t="s">
        <v>39</v>
      </c>
      <c r="E2348" s="84">
        <f>ROUND(E2349+E2350,2)</f>
        <v>66.16</v>
      </c>
    </row>
    <row r="2349" spans="1:6">
      <c r="A2349" s="91"/>
      <c r="B2349" s="56"/>
      <c r="C2349" s="104" t="s">
        <v>3049</v>
      </c>
      <c r="D2349" s="99" t="s">
        <v>2114</v>
      </c>
      <c r="E2349" s="113">
        <f>27.28+27.28</f>
        <v>54.56</v>
      </c>
    </row>
    <row r="2350" spans="1:6">
      <c r="A2350" s="91"/>
      <c r="B2350" s="56"/>
      <c r="C2350" s="104" t="s">
        <v>3348</v>
      </c>
      <c r="D2350" s="99" t="s">
        <v>2114</v>
      </c>
      <c r="E2350" s="113">
        <v>11.6</v>
      </c>
    </row>
    <row r="2351" spans="1:6">
      <c r="A2351" s="91"/>
      <c r="B2351" s="56"/>
      <c r="C2351" s="83"/>
      <c r="D2351" s="56"/>
      <c r="E2351" s="84"/>
    </row>
    <row r="2352" spans="1:6" hidden="1">
      <c r="A2352" s="91"/>
      <c r="B2352" s="51">
        <v>160603</v>
      </c>
      <c r="C2352" s="82" t="s">
        <v>1593</v>
      </c>
      <c r="D2352" s="51" t="s">
        <v>12</v>
      </c>
      <c r="E2352" s="77"/>
    </row>
    <row r="2353" spans="1:5" ht="26.4" hidden="1">
      <c r="A2353" s="91"/>
      <c r="B2353" s="51">
        <v>160801</v>
      </c>
      <c r="C2353" s="82" t="s">
        <v>1594</v>
      </c>
      <c r="D2353" s="51" t="s">
        <v>12</v>
      </c>
      <c r="E2353" s="77"/>
    </row>
    <row r="2354" spans="1:5" ht="26.4" hidden="1">
      <c r="A2354" s="91"/>
      <c r="B2354" s="51">
        <v>160901</v>
      </c>
      <c r="C2354" s="82" t="s">
        <v>1595</v>
      </c>
      <c r="D2354" s="51" t="s">
        <v>12</v>
      </c>
      <c r="E2354" s="77"/>
    </row>
    <row r="2355" spans="1:5" hidden="1">
      <c r="A2355" s="91"/>
      <c r="B2355" s="51">
        <v>160905</v>
      </c>
      <c r="C2355" s="82" t="s">
        <v>1596</v>
      </c>
      <c r="D2355" s="51" t="s">
        <v>12</v>
      </c>
      <c r="E2355" s="77"/>
    </row>
    <row r="2356" spans="1:5" ht="26.4" hidden="1">
      <c r="A2356" s="91"/>
      <c r="B2356" s="51">
        <v>160906</v>
      </c>
      <c r="C2356" s="82" t="s">
        <v>1597</v>
      </c>
      <c r="D2356" s="51" t="s">
        <v>12</v>
      </c>
      <c r="E2356" s="77"/>
    </row>
    <row r="2357" spans="1:5" hidden="1">
      <c r="A2357" s="91"/>
      <c r="B2357" s="51">
        <v>160908</v>
      </c>
      <c r="C2357" s="82" t="s">
        <v>1598</v>
      </c>
      <c r="D2357" s="51" t="s">
        <v>12</v>
      </c>
      <c r="E2357" s="77"/>
    </row>
    <row r="2358" spans="1:5" ht="26.4" hidden="1">
      <c r="A2358" s="91"/>
      <c r="B2358" s="51">
        <v>160909</v>
      </c>
      <c r="C2358" s="82" t="s">
        <v>1599</v>
      </c>
      <c r="D2358" s="51" t="s">
        <v>12</v>
      </c>
      <c r="E2358" s="77"/>
    </row>
    <row r="2359" spans="1:5" ht="26.4" hidden="1">
      <c r="A2359" s="91"/>
      <c r="B2359" s="51">
        <v>160910</v>
      </c>
      <c r="C2359" s="82" t="s">
        <v>1600</v>
      </c>
      <c r="D2359" s="51" t="s">
        <v>12</v>
      </c>
      <c r="E2359" s="77"/>
    </row>
    <row r="2360" spans="1:5" ht="26.4" hidden="1">
      <c r="A2360" s="91"/>
      <c r="B2360" s="51">
        <v>160911</v>
      </c>
      <c r="C2360" s="82" t="s">
        <v>1601</v>
      </c>
      <c r="D2360" s="51" t="s">
        <v>12</v>
      </c>
      <c r="E2360" s="77"/>
    </row>
    <row r="2361" spans="1:5">
      <c r="A2361" s="91" t="s">
        <v>2829</v>
      </c>
      <c r="B2361" s="51">
        <v>160963</v>
      </c>
      <c r="C2361" s="82" t="s">
        <v>1602</v>
      </c>
      <c r="D2361" s="51" t="s">
        <v>136</v>
      </c>
      <c r="E2361" s="84">
        <f>ROUND(E2362,2)</f>
        <v>141.69999999999999</v>
      </c>
    </row>
    <row r="2362" spans="1:5">
      <c r="A2362" s="91"/>
      <c r="B2362" s="51"/>
      <c r="C2362" s="104" t="s">
        <v>3901</v>
      </c>
      <c r="D2362" s="99" t="s">
        <v>2114</v>
      </c>
      <c r="E2362" s="113">
        <f>70.85*2</f>
        <v>141.69999999999999</v>
      </c>
    </row>
    <row r="2363" spans="1:5">
      <c r="A2363" s="91"/>
      <c r="B2363" s="51"/>
      <c r="C2363" s="82"/>
      <c r="D2363" s="51"/>
      <c r="E2363" s="77"/>
    </row>
    <row r="2364" spans="1:5" hidden="1">
      <c r="A2364" s="91"/>
      <c r="B2364" s="51">
        <v>160964</v>
      </c>
      <c r="C2364" s="82" t="s">
        <v>1603</v>
      </c>
      <c r="D2364" s="51" t="s">
        <v>39</v>
      </c>
      <c r="E2364" s="77"/>
    </row>
    <row r="2365" spans="1:5" hidden="1">
      <c r="A2365" s="91"/>
      <c r="B2365" s="51">
        <v>160965</v>
      </c>
      <c r="C2365" s="82" t="s">
        <v>1604</v>
      </c>
      <c r="D2365" s="51" t="s">
        <v>39</v>
      </c>
      <c r="E2365" s="77"/>
    </row>
    <row r="2366" spans="1:5" ht="26.4" hidden="1">
      <c r="A2366" s="231"/>
      <c r="B2366" s="51">
        <v>160966</v>
      </c>
      <c r="C2366" s="82" t="s">
        <v>1605</v>
      </c>
      <c r="D2366" s="51" t="s">
        <v>12</v>
      </c>
      <c r="E2366" s="77"/>
    </row>
    <row r="2367" spans="1:5" ht="26.4" hidden="1">
      <c r="A2367" s="231"/>
      <c r="B2367" s="51">
        <v>160967</v>
      </c>
      <c r="C2367" s="82" t="s">
        <v>1606</v>
      </c>
      <c r="D2367" s="51" t="s">
        <v>12</v>
      </c>
      <c r="E2367" s="77"/>
    </row>
    <row r="2368" spans="1:5" ht="26.4">
      <c r="A2368" s="91" t="s">
        <v>3644</v>
      </c>
      <c r="B2368" s="56">
        <v>160969</v>
      </c>
      <c r="C2368" s="103" t="s">
        <v>1607</v>
      </c>
      <c r="D2368" s="56" t="s">
        <v>12</v>
      </c>
      <c r="E2368" s="84">
        <f>ROUND((E2369),2)</f>
        <v>1701.98</v>
      </c>
    </row>
    <row r="2369" spans="1:6" ht="22.8">
      <c r="A2369" s="98"/>
      <c r="B2369" s="99"/>
      <c r="C2369" s="104" t="s">
        <v>3048</v>
      </c>
      <c r="D2369" s="99" t="s">
        <v>3040</v>
      </c>
      <c r="E2369" s="101">
        <f>850.992*2</f>
        <v>1701.9839999999999</v>
      </c>
      <c r="F2369" s="166"/>
    </row>
    <row r="2370" spans="1:6">
      <c r="A2370" s="98"/>
      <c r="B2370" s="99"/>
      <c r="C2370" s="104"/>
      <c r="D2370" s="99"/>
      <c r="E2370" s="101"/>
    </row>
    <row r="2371" spans="1:6" ht="39.6">
      <c r="A2371" s="96" t="s">
        <v>3840</v>
      </c>
      <c r="B2371" s="97" t="s">
        <v>3232</v>
      </c>
      <c r="C2371" s="103" t="s">
        <v>4000</v>
      </c>
      <c r="D2371" s="97" t="s">
        <v>12</v>
      </c>
      <c r="E2371" s="84">
        <f>ROUND((E2372),2)</f>
        <v>350.35</v>
      </c>
      <c r="F2371" s="205"/>
    </row>
    <row r="2372" spans="1:6">
      <c r="A2372" s="112"/>
      <c r="B2372" s="99"/>
      <c r="C2372" s="104" t="s">
        <v>3374</v>
      </c>
      <c r="D2372" s="99" t="s">
        <v>3040</v>
      </c>
      <c r="E2372" s="101">
        <v>350.35</v>
      </c>
      <c r="F2372" s="167"/>
    </row>
    <row r="2373" spans="1:6">
      <c r="A2373" s="37"/>
      <c r="B2373" s="51"/>
      <c r="C2373" s="82"/>
      <c r="D2373" s="51"/>
      <c r="E2373" s="77"/>
    </row>
    <row r="2374" spans="1:6" hidden="1">
      <c r="A2374" s="37"/>
      <c r="B2374" s="51"/>
      <c r="C2374" s="82"/>
      <c r="D2374" s="51"/>
      <c r="E2374" s="77"/>
    </row>
    <row r="2375" spans="1:6" ht="26.4" hidden="1">
      <c r="A2375" s="37"/>
      <c r="B2375" s="51">
        <v>160970</v>
      </c>
      <c r="C2375" s="82" t="s">
        <v>1608</v>
      </c>
      <c r="D2375" s="51" t="s">
        <v>12</v>
      </c>
      <c r="E2375" s="77"/>
    </row>
    <row r="2376" spans="1:6">
      <c r="A2376" s="32"/>
      <c r="B2376" s="55">
        <v>170000</v>
      </c>
      <c r="C2376" s="33" t="s">
        <v>1609</v>
      </c>
      <c r="D2376" s="55"/>
      <c r="E2376" s="78"/>
    </row>
    <row r="2377" spans="1:6" hidden="1">
      <c r="A2377" s="37"/>
      <c r="B2377" s="51">
        <v>170010</v>
      </c>
      <c r="C2377" s="82" t="s">
        <v>1610</v>
      </c>
      <c r="D2377" s="51" t="s">
        <v>39</v>
      </c>
      <c r="E2377" s="77"/>
    </row>
    <row r="2378" spans="1:6" hidden="1">
      <c r="A2378" s="37"/>
      <c r="B2378" s="51">
        <v>170015</v>
      </c>
      <c r="C2378" s="82" t="s">
        <v>1611</v>
      </c>
      <c r="D2378" s="51" t="s">
        <v>1612</v>
      </c>
      <c r="E2378" s="77"/>
    </row>
    <row r="2379" spans="1:6" ht="26.4" hidden="1">
      <c r="A2379" s="37"/>
      <c r="B2379" s="51">
        <v>170101</v>
      </c>
      <c r="C2379" s="82" t="s">
        <v>1613</v>
      </c>
      <c r="D2379" s="51" t="s">
        <v>2930</v>
      </c>
      <c r="E2379" s="77"/>
    </row>
    <row r="2380" spans="1:6" ht="26.4" hidden="1">
      <c r="A2380" s="37"/>
      <c r="B2380" s="51">
        <v>170102</v>
      </c>
      <c r="C2380" s="82" t="s">
        <v>1614</v>
      </c>
      <c r="D2380" s="51" t="s">
        <v>2930</v>
      </c>
      <c r="E2380" s="77"/>
    </row>
    <row r="2381" spans="1:6" hidden="1">
      <c r="A2381" s="37"/>
      <c r="B2381" s="51">
        <v>170103</v>
      </c>
      <c r="C2381" s="82" t="s">
        <v>1615</v>
      </c>
      <c r="D2381" s="51" t="s">
        <v>2930</v>
      </c>
      <c r="E2381" s="77"/>
    </row>
    <row r="2382" spans="1:6" ht="26.4" hidden="1">
      <c r="A2382" s="37"/>
      <c r="B2382" s="51">
        <v>170104</v>
      </c>
      <c r="C2382" s="82" t="s">
        <v>1616</v>
      </c>
      <c r="D2382" s="51" t="s">
        <v>2930</v>
      </c>
      <c r="E2382" s="77"/>
    </row>
    <row r="2383" spans="1:6" ht="26.4" hidden="1">
      <c r="A2383" s="37"/>
      <c r="B2383" s="51">
        <v>170106</v>
      </c>
      <c r="C2383" s="82" t="s">
        <v>1617</v>
      </c>
      <c r="D2383" s="51" t="s">
        <v>2930</v>
      </c>
      <c r="E2383" s="77"/>
    </row>
    <row r="2384" spans="1:6" hidden="1">
      <c r="A2384" s="37"/>
      <c r="B2384" s="51">
        <v>170107</v>
      </c>
      <c r="C2384" s="82" t="s">
        <v>1618</v>
      </c>
      <c r="D2384" s="51" t="s">
        <v>2930</v>
      </c>
      <c r="E2384" s="77"/>
    </row>
    <row r="2385" spans="1:5" hidden="1">
      <c r="A2385" s="37"/>
      <c r="B2385" s="51">
        <v>170108</v>
      </c>
      <c r="C2385" s="82" t="s">
        <v>1619</v>
      </c>
      <c r="D2385" s="51" t="s">
        <v>2930</v>
      </c>
      <c r="E2385" s="77"/>
    </row>
    <row r="2386" spans="1:5" hidden="1">
      <c r="A2386" s="37"/>
      <c r="B2386" s="51">
        <v>170109</v>
      </c>
      <c r="C2386" s="82" t="s">
        <v>1620</v>
      </c>
      <c r="D2386" s="51" t="s">
        <v>2930</v>
      </c>
      <c r="E2386" s="77"/>
    </row>
    <row r="2387" spans="1:5" hidden="1">
      <c r="A2387" s="37"/>
      <c r="B2387" s="51">
        <v>170110</v>
      </c>
      <c r="C2387" s="82" t="s">
        <v>1621</v>
      </c>
      <c r="D2387" s="51" t="s">
        <v>2930</v>
      </c>
      <c r="E2387" s="77"/>
    </row>
    <row r="2388" spans="1:5" hidden="1">
      <c r="A2388" s="37"/>
      <c r="B2388" s="51">
        <v>170111</v>
      </c>
      <c r="C2388" s="82" t="s">
        <v>1622</v>
      </c>
      <c r="D2388" s="51" t="s">
        <v>2930</v>
      </c>
      <c r="E2388" s="77"/>
    </row>
    <row r="2389" spans="1:5" hidden="1">
      <c r="A2389" s="37"/>
      <c r="B2389" s="51">
        <v>170112</v>
      </c>
      <c r="C2389" s="82" t="s">
        <v>1623</v>
      </c>
      <c r="D2389" s="51" t="s">
        <v>2930</v>
      </c>
      <c r="E2389" s="77"/>
    </row>
    <row r="2390" spans="1:5" hidden="1">
      <c r="A2390" s="37"/>
      <c r="B2390" s="51">
        <v>170113</v>
      </c>
      <c r="C2390" s="82" t="s">
        <v>1624</v>
      </c>
      <c r="D2390" s="51" t="s">
        <v>2930</v>
      </c>
      <c r="E2390" s="77"/>
    </row>
    <row r="2391" spans="1:5" hidden="1">
      <c r="A2391" s="37"/>
      <c r="B2391" s="51">
        <v>170114</v>
      </c>
      <c r="C2391" s="82" t="s">
        <v>1625</v>
      </c>
      <c r="D2391" s="51" t="s">
        <v>2930</v>
      </c>
      <c r="E2391" s="77"/>
    </row>
    <row r="2392" spans="1:5" hidden="1">
      <c r="A2392" s="37"/>
      <c r="B2392" s="51">
        <v>170115</v>
      </c>
      <c r="C2392" s="82" t="s">
        <v>1626</v>
      </c>
      <c r="D2392" s="51" t="s">
        <v>2930</v>
      </c>
      <c r="E2392" s="77"/>
    </row>
    <row r="2393" spans="1:5" hidden="1">
      <c r="A2393" s="37"/>
      <c r="B2393" s="51">
        <v>170116</v>
      </c>
      <c r="C2393" s="82" t="s">
        <v>1627</v>
      </c>
      <c r="D2393" s="51" t="s">
        <v>2930</v>
      </c>
      <c r="E2393" s="77"/>
    </row>
    <row r="2394" spans="1:5" hidden="1">
      <c r="A2394" s="37"/>
      <c r="B2394" s="51">
        <v>170117</v>
      </c>
      <c r="C2394" s="82" t="s">
        <v>1628</v>
      </c>
      <c r="D2394" s="51" t="s">
        <v>2930</v>
      </c>
      <c r="E2394" s="77"/>
    </row>
    <row r="2395" spans="1:5">
      <c r="A2395" s="32">
        <v>10</v>
      </c>
      <c r="B2395" s="54">
        <v>180000</v>
      </c>
      <c r="C2395" s="29" t="s">
        <v>3977</v>
      </c>
      <c r="D2395" s="54" t="s">
        <v>10</v>
      </c>
      <c r="E2395" s="78"/>
    </row>
    <row r="2396" spans="1:5" ht="26.4" hidden="1">
      <c r="A2396" s="37"/>
      <c r="B2396" s="51">
        <v>180101</v>
      </c>
      <c r="C2396" s="82" t="s">
        <v>1629</v>
      </c>
      <c r="D2396" s="51" t="s">
        <v>12</v>
      </c>
      <c r="E2396" s="77"/>
    </row>
    <row r="2397" spans="1:5" ht="26.4" hidden="1">
      <c r="A2397" s="37"/>
      <c r="B2397" s="51">
        <v>180102</v>
      </c>
      <c r="C2397" s="82" t="s">
        <v>1630</v>
      </c>
      <c r="D2397" s="51" t="s">
        <v>12</v>
      </c>
      <c r="E2397" s="77"/>
    </row>
    <row r="2398" spans="1:5" ht="26.4" hidden="1">
      <c r="A2398" s="37"/>
      <c r="B2398" s="51">
        <v>180103</v>
      </c>
      <c r="C2398" s="5" t="s">
        <v>1631</v>
      </c>
      <c r="D2398" s="51" t="s">
        <v>12</v>
      </c>
      <c r="E2398" s="77"/>
    </row>
    <row r="2399" spans="1:5" ht="26.4" hidden="1">
      <c r="A2399" s="37"/>
      <c r="B2399" s="51">
        <v>180104</v>
      </c>
      <c r="C2399" s="82" t="s">
        <v>1632</v>
      </c>
      <c r="D2399" s="51" t="s">
        <v>12</v>
      </c>
      <c r="E2399" s="77"/>
    </row>
    <row r="2400" spans="1:5" ht="26.4" hidden="1">
      <c r="A2400" s="37"/>
      <c r="B2400" s="51">
        <v>180105</v>
      </c>
      <c r="C2400" s="82" t="s">
        <v>1633</v>
      </c>
      <c r="D2400" s="51" t="s">
        <v>12</v>
      </c>
      <c r="E2400" s="77"/>
    </row>
    <row r="2401" spans="1:5" ht="26.4" hidden="1">
      <c r="A2401" s="37"/>
      <c r="B2401" s="51">
        <v>180111</v>
      </c>
      <c r="C2401" s="82" t="s">
        <v>1634</v>
      </c>
      <c r="D2401" s="51" t="s">
        <v>12</v>
      </c>
      <c r="E2401" s="77"/>
    </row>
    <row r="2402" spans="1:5" ht="26.4" hidden="1">
      <c r="A2402" s="37"/>
      <c r="B2402" s="51">
        <v>180112</v>
      </c>
      <c r="C2402" s="82" t="s">
        <v>1635</v>
      </c>
      <c r="D2402" s="51" t="s">
        <v>12</v>
      </c>
      <c r="E2402" s="77"/>
    </row>
    <row r="2403" spans="1:5" ht="26.4" hidden="1">
      <c r="A2403" s="37"/>
      <c r="B2403" s="51">
        <v>180113</v>
      </c>
      <c r="C2403" s="82" t="s">
        <v>1636</v>
      </c>
      <c r="D2403" s="51" t="s">
        <v>12</v>
      </c>
      <c r="E2403" s="77"/>
    </row>
    <row r="2404" spans="1:5" ht="26.4" hidden="1">
      <c r="A2404" s="37"/>
      <c r="B2404" s="51">
        <v>180114</v>
      </c>
      <c r="C2404" s="82" t="s">
        <v>1637</v>
      </c>
      <c r="D2404" s="51" t="s">
        <v>12</v>
      </c>
      <c r="E2404" s="77"/>
    </row>
    <row r="2405" spans="1:5" ht="26.4" hidden="1">
      <c r="A2405" s="37"/>
      <c r="B2405" s="51">
        <v>180115</v>
      </c>
      <c r="C2405" s="82" t="s">
        <v>1638</v>
      </c>
      <c r="D2405" s="51" t="s">
        <v>12</v>
      </c>
      <c r="E2405" s="77"/>
    </row>
    <row r="2406" spans="1:5" hidden="1">
      <c r="A2406" s="37"/>
      <c r="B2406" s="51">
        <v>180204</v>
      </c>
      <c r="C2406" s="82" t="s">
        <v>1639</v>
      </c>
      <c r="D2406" s="51" t="s">
        <v>2930</v>
      </c>
      <c r="E2406" s="77"/>
    </row>
    <row r="2407" spans="1:5" hidden="1">
      <c r="A2407" s="37"/>
      <c r="B2407" s="51">
        <v>180208</v>
      </c>
      <c r="C2407" s="82" t="s">
        <v>1640</v>
      </c>
      <c r="D2407" s="51" t="s">
        <v>12</v>
      </c>
      <c r="E2407" s="77"/>
    </row>
    <row r="2408" spans="1:5" ht="26.4" hidden="1">
      <c r="A2408" s="37"/>
      <c r="B2408" s="51">
        <v>180280</v>
      </c>
      <c r="C2408" s="82" t="s">
        <v>1641</v>
      </c>
      <c r="D2408" s="51" t="s">
        <v>12</v>
      </c>
      <c r="E2408" s="77"/>
    </row>
    <row r="2409" spans="1:5" ht="26.4" hidden="1">
      <c r="A2409" s="37"/>
      <c r="B2409" s="51">
        <v>180281</v>
      </c>
      <c r="C2409" s="82" t="s">
        <v>1642</v>
      </c>
      <c r="D2409" s="51" t="s">
        <v>12</v>
      </c>
      <c r="E2409" s="77"/>
    </row>
    <row r="2410" spans="1:5" ht="26.4" hidden="1">
      <c r="A2410" s="37"/>
      <c r="B2410" s="51">
        <v>180282</v>
      </c>
      <c r="C2410" s="82" t="s">
        <v>1643</v>
      </c>
      <c r="D2410" s="51" t="s">
        <v>12</v>
      </c>
      <c r="E2410" s="77"/>
    </row>
    <row r="2411" spans="1:5" ht="26.4" hidden="1">
      <c r="A2411" s="37"/>
      <c r="B2411" s="51">
        <v>180302</v>
      </c>
      <c r="C2411" s="82" t="s">
        <v>1644</v>
      </c>
      <c r="D2411" s="51" t="s">
        <v>12</v>
      </c>
      <c r="E2411" s="77"/>
    </row>
    <row r="2412" spans="1:5" hidden="1">
      <c r="A2412" s="37"/>
      <c r="B2412" s="51">
        <v>180303</v>
      </c>
      <c r="C2412" s="82" t="s">
        <v>1645</v>
      </c>
      <c r="D2412" s="51" t="s">
        <v>12</v>
      </c>
      <c r="E2412" s="77"/>
    </row>
    <row r="2413" spans="1:5" hidden="1">
      <c r="A2413" s="37"/>
      <c r="B2413" s="51">
        <v>180304</v>
      </c>
      <c r="C2413" s="82" t="s">
        <v>1646</v>
      </c>
      <c r="D2413" s="51" t="s">
        <v>12</v>
      </c>
      <c r="E2413" s="77"/>
    </row>
    <row r="2414" spans="1:5" ht="26.4" hidden="1">
      <c r="A2414" s="37"/>
      <c r="B2414" s="51">
        <v>180305</v>
      </c>
      <c r="C2414" s="82" t="s">
        <v>1647</v>
      </c>
      <c r="D2414" s="51" t="s">
        <v>12</v>
      </c>
      <c r="E2414" s="77"/>
    </row>
    <row r="2415" spans="1:5" ht="26.4" hidden="1">
      <c r="A2415" s="37"/>
      <c r="B2415" s="51">
        <v>180307</v>
      </c>
      <c r="C2415" s="82" t="s">
        <v>1648</v>
      </c>
      <c r="D2415" s="51" t="s">
        <v>12</v>
      </c>
      <c r="E2415" s="77"/>
    </row>
    <row r="2416" spans="1:5" ht="26.4" hidden="1">
      <c r="A2416" s="37"/>
      <c r="B2416" s="51">
        <v>180308</v>
      </c>
      <c r="C2416" s="82" t="s">
        <v>1649</v>
      </c>
      <c r="D2416" s="51" t="s">
        <v>12</v>
      </c>
      <c r="E2416" s="77"/>
    </row>
    <row r="2417" spans="1:5" hidden="1">
      <c r="A2417" s="37"/>
      <c r="B2417" s="51">
        <v>180309</v>
      </c>
      <c r="C2417" s="82" t="s">
        <v>1650</v>
      </c>
      <c r="D2417" s="51" t="s">
        <v>12</v>
      </c>
      <c r="E2417" s="77"/>
    </row>
    <row r="2418" spans="1:5" ht="26.4" hidden="1">
      <c r="A2418" s="37"/>
      <c r="B2418" s="51">
        <v>180310</v>
      </c>
      <c r="C2418" s="82" t="s">
        <v>1651</v>
      </c>
      <c r="D2418" s="51" t="s">
        <v>12</v>
      </c>
      <c r="E2418" s="77"/>
    </row>
    <row r="2419" spans="1:5" hidden="1">
      <c r="A2419" s="37"/>
      <c r="B2419" s="51">
        <v>180311</v>
      </c>
      <c r="C2419" s="82" t="s">
        <v>1652</v>
      </c>
      <c r="D2419" s="51" t="s">
        <v>12</v>
      </c>
      <c r="E2419" s="77"/>
    </row>
    <row r="2420" spans="1:5" ht="26.4" hidden="1">
      <c r="A2420" s="37"/>
      <c r="B2420" s="51">
        <v>180312</v>
      </c>
      <c r="C2420" s="82" t="s">
        <v>1653</v>
      </c>
      <c r="D2420" s="51" t="s">
        <v>12</v>
      </c>
      <c r="E2420" s="77"/>
    </row>
    <row r="2421" spans="1:5" ht="26.4" hidden="1">
      <c r="A2421" s="37"/>
      <c r="B2421" s="51">
        <v>180313</v>
      </c>
      <c r="C2421" s="82" t="s">
        <v>1654</v>
      </c>
      <c r="D2421" s="51" t="s">
        <v>12</v>
      </c>
      <c r="E2421" s="77"/>
    </row>
    <row r="2422" spans="1:5" hidden="1">
      <c r="A2422" s="37"/>
      <c r="B2422" s="51">
        <v>180314</v>
      </c>
      <c r="C2422" s="82" t="s">
        <v>1655</v>
      </c>
      <c r="D2422" s="51" t="s">
        <v>12</v>
      </c>
      <c r="E2422" s="77"/>
    </row>
    <row r="2423" spans="1:5" ht="26.4" hidden="1">
      <c r="A2423" s="37"/>
      <c r="B2423" s="51">
        <v>180315</v>
      </c>
      <c r="C2423" s="82" t="s">
        <v>1656</v>
      </c>
      <c r="D2423" s="51" t="s">
        <v>12</v>
      </c>
      <c r="E2423" s="77"/>
    </row>
    <row r="2424" spans="1:5" hidden="1">
      <c r="A2424" s="37"/>
      <c r="B2424" s="51">
        <v>180316</v>
      </c>
      <c r="C2424" s="82" t="s">
        <v>1657</v>
      </c>
      <c r="D2424" s="51" t="s">
        <v>39</v>
      </c>
      <c r="E2424" s="77"/>
    </row>
    <row r="2425" spans="1:5" hidden="1">
      <c r="A2425" s="37"/>
      <c r="B2425" s="51">
        <v>180317</v>
      </c>
      <c r="C2425" s="82" t="s">
        <v>1658</v>
      </c>
      <c r="D2425" s="51" t="s">
        <v>12</v>
      </c>
      <c r="E2425" s="77"/>
    </row>
    <row r="2426" spans="1:5" hidden="1">
      <c r="A2426" s="37"/>
      <c r="B2426" s="51">
        <v>180318</v>
      </c>
      <c r="C2426" s="82" t="s">
        <v>1659</v>
      </c>
      <c r="D2426" s="51" t="s">
        <v>136</v>
      </c>
      <c r="E2426" s="77"/>
    </row>
    <row r="2427" spans="1:5" hidden="1">
      <c r="A2427" s="37"/>
      <c r="B2427" s="51">
        <v>180320</v>
      </c>
      <c r="C2427" s="82" t="s">
        <v>1660</v>
      </c>
      <c r="D2427" s="51" t="s">
        <v>12</v>
      </c>
      <c r="E2427" s="77"/>
    </row>
    <row r="2428" spans="1:5" ht="26.4" hidden="1">
      <c r="A2428" s="37"/>
      <c r="B2428" s="51">
        <v>180321</v>
      </c>
      <c r="C2428" s="82" t="s">
        <v>1661</v>
      </c>
      <c r="D2428" s="51" t="s">
        <v>12</v>
      </c>
      <c r="E2428" s="77"/>
    </row>
    <row r="2429" spans="1:5" ht="39.6" hidden="1">
      <c r="A2429" s="37"/>
      <c r="B2429" s="51">
        <v>180323</v>
      </c>
      <c r="C2429" s="82" t="s">
        <v>1662</v>
      </c>
      <c r="D2429" s="51" t="s">
        <v>12</v>
      </c>
      <c r="E2429" s="77"/>
    </row>
    <row r="2430" spans="1:5" ht="26.4" hidden="1">
      <c r="A2430" s="37"/>
      <c r="B2430" s="51">
        <v>180324</v>
      </c>
      <c r="C2430" s="82" t="s">
        <v>1663</v>
      </c>
      <c r="D2430" s="51" t="s">
        <v>12</v>
      </c>
      <c r="E2430" s="77"/>
    </row>
    <row r="2431" spans="1:5" ht="26.4" hidden="1">
      <c r="A2431" s="37"/>
      <c r="B2431" s="51">
        <v>180325</v>
      </c>
      <c r="C2431" s="82" t="s">
        <v>1664</v>
      </c>
      <c r="D2431" s="51" t="s">
        <v>136</v>
      </c>
      <c r="E2431" s="77"/>
    </row>
    <row r="2432" spans="1:5" hidden="1">
      <c r="A2432" s="37"/>
      <c r="B2432" s="51">
        <v>180328</v>
      </c>
      <c r="C2432" s="82" t="s">
        <v>1665</v>
      </c>
      <c r="D2432" s="51" t="s">
        <v>12</v>
      </c>
      <c r="E2432" s="77"/>
    </row>
    <row r="2433" spans="1:5" hidden="1">
      <c r="A2433" s="37"/>
      <c r="B2433" s="51">
        <v>180330</v>
      </c>
      <c r="C2433" s="82" t="s">
        <v>1666</v>
      </c>
      <c r="D2433" s="51" t="s">
        <v>12</v>
      </c>
      <c r="E2433" s="77"/>
    </row>
    <row r="2434" spans="1:5" hidden="1">
      <c r="A2434" s="37"/>
      <c r="B2434" s="51">
        <v>180331</v>
      </c>
      <c r="C2434" s="82" t="s">
        <v>1667</v>
      </c>
      <c r="D2434" s="51" t="s">
        <v>12</v>
      </c>
      <c r="E2434" s="77"/>
    </row>
    <row r="2435" spans="1:5" hidden="1">
      <c r="A2435" s="37"/>
      <c r="B2435" s="51">
        <v>180380</v>
      </c>
      <c r="C2435" s="82" t="s">
        <v>1668</v>
      </c>
      <c r="D2435" s="51" t="s">
        <v>12</v>
      </c>
      <c r="E2435" s="77"/>
    </row>
    <row r="2436" spans="1:5" hidden="1">
      <c r="A2436" s="37"/>
      <c r="B2436" s="51">
        <v>180381</v>
      </c>
      <c r="C2436" s="82" t="s">
        <v>1669</v>
      </c>
      <c r="D2436" s="51" t="s">
        <v>12</v>
      </c>
      <c r="E2436" s="77"/>
    </row>
    <row r="2437" spans="1:5" hidden="1">
      <c r="A2437" s="37"/>
      <c r="B2437" s="51">
        <v>180383</v>
      </c>
      <c r="C2437" s="82" t="s">
        <v>1670</v>
      </c>
      <c r="D2437" s="51" t="s">
        <v>12</v>
      </c>
      <c r="E2437" s="77"/>
    </row>
    <row r="2438" spans="1:5" hidden="1">
      <c r="A2438" s="37"/>
      <c r="B2438" s="51">
        <v>180401</v>
      </c>
      <c r="C2438" s="82" t="s">
        <v>1671</v>
      </c>
      <c r="D2438" s="51" t="s">
        <v>12</v>
      </c>
      <c r="E2438" s="77"/>
    </row>
    <row r="2439" spans="1:5" ht="26.4" hidden="1">
      <c r="A2439" s="37"/>
      <c r="B2439" s="51">
        <v>180402</v>
      </c>
      <c r="C2439" s="82" t="s">
        <v>1672</v>
      </c>
      <c r="D2439" s="51" t="s">
        <v>12</v>
      </c>
      <c r="E2439" s="77"/>
    </row>
    <row r="2440" spans="1:5" hidden="1">
      <c r="A2440" s="37"/>
      <c r="B2440" s="51">
        <v>180403</v>
      </c>
      <c r="C2440" s="82" t="s">
        <v>1673</v>
      </c>
      <c r="D2440" s="51" t="s">
        <v>12</v>
      </c>
      <c r="E2440" s="77"/>
    </row>
    <row r="2441" spans="1:5" hidden="1">
      <c r="A2441" s="37"/>
      <c r="B2441" s="51">
        <v>180404</v>
      </c>
      <c r="C2441" s="82" t="s">
        <v>1674</v>
      </c>
      <c r="D2441" s="51" t="s">
        <v>12</v>
      </c>
      <c r="E2441" s="77"/>
    </row>
    <row r="2442" spans="1:5" hidden="1">
      <c r="A2442" s="37"/>
      <c r="B2442" s="51">
        <v>180405</v>
      </c>
      <c r="C2442" s="82" t="s">
        <v>1675</v>
      </c>
      <c r="D2442" s="51" t="s">
        <v>12</v>
      </c>
      <c r="E2442" s="77"/>
    </row>
    <row r="2443" spans="1:5" ht="26.4" hidden="1">
      <c r="A2443" s="37"/>
      <c r="B2443" s="51">
        <v>180406</v>
      </c>
      <c r="C2443" s="82" t="s">
        <v>1676</v>
      </c>
      <c r="D2443" s="51" t="s">
        <v>12</v>
      </c>
      <c r="E2443" s="77"/>
    </row>
    <row r="2444" spans="1:5" ht="26.4" hidden="1">
      <c r="A2444" s="37"/>
      <c r="B2444" s="51">
        <v>180490</v>
      </c>
      <c r="C2444" s="82" t="s">
        <v>1677</v>
      </c>
      <c r="D2444" s="51" t="s">
        <v>12</v>
      </c>
      <c r="E2444" s="77"/>
    </row>
    <row r="2445" spans="1:5" ht="26.4" hidden="1">
      <c r="A2445" s="37"/>
      <c r="B2445" s="51">
        <v>180491</v>
      </c>
      <c r="C2445" s="82" t="s">
        <v>1678</v>
      </c>
      <c r="D2445" s="51" t="s">
        <v>12</v>
      </c>
      <c r="E2445" s="77"/>
    </row>
    <row r="2446" spans="1:5" ht="26.4" hidden="1">
      <c r="A2446" s="37"/>
      <c r="B2446" s="51">
        <v>180501</v>
      </c>
      <c r="C2446" s="82" t="s">
        <v>1679</v>
      </c>
      <c r="D2446" s="51" t="s">
        <v>12</v>
      </c>
      <c r="E2446" s="77"/>
    </row>
    <row r="2447" spans="1:5" hidden="1">
      <c r="A2447" s="37"/>
      <c r="B2447" s="51">
        <v>180502</v>
      </c>
      <c r="C2447" s="82" t="s">
        <v>1680</v>
      </c>
      <c r="D2447" s="51" t="s">
        <v>12</v>
      </c>
      <c r="E2447" s="77"/>
    </row>
    <row r="2448" spans="1:5" ht="26.4" hidden="1">
      <c r="A2448" s="37"/>
      <c r="B2448" s="51">
        <v>180503</v>
      </c>
      <c r="C2448" s="82" t="s">
        <v>1681</v>
      </c>
      <c r="D2448" s="51" t="s">
        <v>12</v>
      </c>
      <c r="E2448" s="77"/>
    </row>
    <row r="2449" spans="1:5" hidden="1">
      <c r="A2449" s="37"/>
      <c r="B2449" s="51">
        <v>180504</v>
      </c>
      <c r="C2449" s="82" t="s">
        <v>1682</v>
      </c>
      <c r="D2449" s="51" t="s">
        <v>12</v>
      </c>
      <c r="E2449" s="77"/>
    </row>
    <row r="2450" spans="1:5" ht="26.4" hidden="1">
      <c r="A2450" s="37"/>
      <c r="B2450" s="51">
        <v>180505</v>
      </c>
      <c r="C2450" s="82" t="s">
        <v>1683</v>
      </c>
      <c r="D2450" s="51" t="s">
        <v>12</v>
      </c>
      <c r="E2450" s="77"/>
    </row>
    <row r="2451" spans="1:5" ht="26.4" hidden="1">
      <c r="A2451" s="37"/>
      <c r="B2451" s="51">
        <v>180506</v>
      </c>
      <c r="C2451" s="82" t="s">
        <v>1684</v>
      </c>
      <c r="D2451" s="51" t="s">
        <v>12</v>
      </c>
      <c r="E2451" s="77"/>
    </row>
    <row r="2452" spans="1:5" ht="39.6" hidden="1">
      <c r="A2452" s="37"/>
      <c r="B2452" s="51">
        <v>180507</v>
      </c>
      <c r="C2452" s="82" t="s">
        <v>1685</v>
      </c>
      <c r="D2452" s="51" t="s">
        <v>12</v>
      </c>
      <c r="E2452" s="77"/>
    </row>
    <row r="2453" spans="1:5" hidden="1">
      <c r="A2453" s="37"/>
      <c r="B2453" s="51">
        <v>180508</v>
      </c>
      <c r="C2453" s="82" t="s">
        <v>1686</v>
      </c>
      <c r="D2453" s="51" t="s">
        <v>12</v>
      </c>
      <c r="E2453" s="77"/>
    </row>
    <row r="2454" spans="1:5" ht="26.4" hidden="1">
      <c r="A2454" s="37"/>
      <c r="B2454" s="51">
        <v>180509</v>
      </c>
      <c r="C2454" s="82" t="s">
        <v>1687</v>
      </c>
      <c r="D2454" s="51" t="s">
        <v>12</v>
      </c>
      <c r="E2454" s="77"/>
    </row>
    <row r="2455" spans="1:5" hidden="1">
      <c r="A2455" s="37"/>
      <c r="B2455" s="51">
        <v>180510</v>
      </c>
      <c r="C2455" s="82" t="s">
        <v>1688</v>
      </c>
      <c r="D2455" s="51" t="s">
        <v>12</v>
      </c>
      <c r="E2455" s="77"/>
    </row>
    <row r="2456" spans="1:5" hidden="1">
      <c r="A2456" s="37"/>
      <c r="B2456" s="51">
        <v>180511</v>
      </c>
      <c r="C2456" s="82" t="s">
        <v>1689</v>
      </c>
      <c r="D2456" s="51" t="s">
        <v>12</v>
      </c>
      <c r="E2456" s="77"/>
    </row>
    <row r="2457" spans="1:5" hidden="1">
      <c r="A2457" s="37"/>
      <c r="B2457" s="51">
        <v>180512</v>
      </c>
      <c r="C2457" s="82" t="s">
        <v>1690</v>
      </c>
      <c r="D2457" s="51" t="s">
        <v>12</v>
      </c>
      <c r="E2457" s="77"/>
    </row>
    <row r="2458" spans="1:5" ht="26.4" hidden="1">
      <c r="A2458" s="37"/>
      <c r="B2458" s="51">
        <v>180515</v>
      </c>
      <c r="C2458" s="82" t="s">
        <v>1691</v>
      </c>
      <c r="D2458" s="51" t="s">
        <v>12</v>
      </c>
      <c r="E2458" s="77"/>
    </row>
    <row r="2459" spans="1:5" ht="26.4" hidden="1">
      <c r="A2459" s="37"/>
      <c r="B2459" s="51">
        <v>180701</v>
      </c>
      <c r="C2459" s="82" t="s">
        <v>1692</v>
      </c>
      <c r="D2459" s="51" t="s">
        <v>39</v>
      </c>
      <c r="E2459" s="77"/>
    </row>
    <row r="2460" spans="1:5" ht="26.4" hidden="1">
      <c r="A2460" s="37"/>
      <c r="B2460" s="51">
        <v>180703</v>
      </c>
      <c r="C2460" s="82" t="s">
        <v>1693</v>
      </c>
      <c r="D2460" s="51" t="s">
        <v>39</v>
      </c>
      <c r="E2460" s="77"/>
    </row>
    <row r="2461" spans="1:5" ht="26.4" hidden="1">
      <c r="A2461" s="34"/>
      <c r="B2461" s="56">
        <v>180708</v>
      </c>
      <c r="C2461" s="83" t="s">
        <v>1694</v>
      </c>
      <c r="D2461" s="56" t="s">
        <v>2930</v>
      </c>
      <c r="E2461" s="84"/>
    </row>
    <row r="2462" spans="1:5" ht="26.4" hidden="1">
      <c r="A2462" s="34"/>
      <c r="B2462" s="56">
        <v>180710</v>
      </c>
      <c r="C2462" s="83" t="s">
        <v>1695</v>
      </c>
      <c r="D2462" s="56" t="s">
        <v>12</v>
      </c>
      <c r="E2462" s="84"/>
    </row>
    <row r="2463" spans="1:5" ht="26.4">
      <c r="A2463" s="91" t="s">
        <v>2830</v>
      </c>
      <c r="B2463" s="110" t="s">
        <v>2872</v>
      </c>
      <c r="C2463" s="111" t="s">
        <v>2873</v>
      </c>
      <c r="D2463" s="110" t="s">
        <v>12</v>
      </c>
      <c r="E2463" s="84">
        <f>ROUND(SUM(E2465:E2469),2)</f>
        <v>12.6</v>
      </c>
    </row>
    <row r="2464" spans="1:5">
      <c r="A2464" s="93"/>
      <c r="B2464" s="108"/>
      <c r="C2464" s="100" t="s">
        <v>2634</v>
      </c>
      <c r="D2464" s="108"/>
      <c r="E2464" s="113"/>
    </row>
    <row r="2465" spans="1:6">
      <c r="A2465" s="93"/>
      <c r="B2465" s="108"/>
      <c r="C2465" s="109" t="s">
        <v>2875</v>
      </c>
      <c r="D2465" s="108" t="s">
        <v>12</v>
      </c>
      <c r="E2465" s="113">
        <f>1*2.1</f>
        <v>2.1</v>
      </c>
    </row>
    <row r="2466" spans="1:6">
      <c r="A2466" s="93"/>
      <c r="B2466" s="108"/>
      <c r="C2466" s="109" t="s">
        <v>3057</v>
      </c>
      <c r="D2466" s="108" t="s">
        <v>12</v>
      </c>
      <c r="E2466" s="113">
        <f>1*2.1*2</f>
        <v>4.2</v>
      </c>
    </row>
    <row r="2467" spans="1:6">
      <c r="A2467" s="93"/>
      <c r="B2467" s="108"/>
      <c r="C2467" s="109" t="s">
        <v>3070</v>
      </c>
      <c r="D2467" s="108" t="s">
        <v>12</v>
      </c>
      <c r="E2467" s="113">
        <f>1*2.1</f>
        <v>2.1</v>
      </c>
    </row>
    <row r="2468" spans="1:6">
      <c r="A2468" s="93"/>
      <c r="B2468" s="108"/>
      <c r="C2468" s="109" t="s">
        <v>3072</v>
      </c>
      <c r="D2468" s="108" t="s">
        <v>12</v>
      </c>
      <c r="E2468" s="113">
        <f>1*2.1</f>
        <v>2.1</v>
      </c>
    </row>
    <row r="2469" spans="1:6">
      <c r="A2469" s="93"/>
      <c r="B2469" s="108"/>
      <c r="C2469" s="109" t="s">
        <v>3078</v>
      </c>
      <c r="D2469" s="108" t="s">
        <v>12</v>
      </c>
      <c r="E2469" s="113">
        <f>1*2.1</f>
        <v>2.1</v>
      </c>
    </row>
    <row r="2470" spans="1:6">
      <c r="A2470" s="91"/>
      <c r="B2470" s="110"/>
      <c r="C2470" s="111"/>
      <c r="D2470" s="110"/>
      <c r="E2470" s="84"/>
    </row>
    <row r="2471" spans="1:6" ht="26.4">
      <c r="A2471" s="91" t="s">
        <v>2831</v>
      </c>
      <c r="B2471" s="110" t="s">
        <v>2874</v>
      </c>
      <c r="C2471" s="111" t="s">
        <v>3235</v>
      </c>
      <c r="D2471" s="110" t="s">
        <v>12</v>
      </c>
      <c r="E2471" s="84">
        <f>ROUND(SUM(E2473),2)</f>
        <v>6</v>
      </c>
    </row>
    <row r="2472" spans="1:6">
      <c r="A2472" s="93"/>
      <c r="B2472" s="108"/>
      <c r="C2472" s="100" t="s">
        <v>2634</v>
      </c>
      <c r="D2472" s="108"/>
      <c r="E2472" s="113"/>
    </row>
    <row r="2473" spans="1:6" ht="22.95" customHeight="1">
      <c r="A2473" s="112"/>
      <c r="B2473" s="108"/>
      <c r="C2473" s="109" t="s">
        <v>3148</v>
      </c>
      <c r="D2473" s="108" t="s">
        <v>2616</v>
      </c>
      <c r="E2473" s="113">
        <f>3*2*1</f>
        <v>6</v>
      </c>
    </row>
    <row r="2474" spans="1:6">
      <c r="A2474" s="112"/>
      <c r="B2474" s="108"/>
      <c r="C2474" s="109"/>
      <c r="D2474" s="108"/>
      <c r="E2474" s="113"/>
    </row>
    <row r="2475" spans="1:6" ht="39.6">
      <c r="A2475" s="91" t="s">
        <v>2832</v>
      </c>
      <c r="B2475" s="110" t="s">
        <v>2778</v>
      </c>
      <c r="C2475" s="111" t="s">
        <v>2864</v>
      </c>
      <c r="D2475" s="110" t="s">
        <v>12</v>
      </c>
      <c r="E2475" s="84">
        <f>ROUND(SUM(E2477),2)</f>
        <v>6</v>
      </c>
    </row>
    <row r="2476" spans="1:6">
      <c r="A2476" s="93"/>
      <c r="B2476" s="108"/>
      <c r="C2476" s="100" t="s">
        <v>2634</v>
      </c>
      <c r="D2476" s="108"/>
      <c r="E2476" s="113"/>
    </row>
    <row r="2477" spans="1:6" ht="22.8">
      <c r="A2477" s="112"/>
      <c r="B2477" s="108"/>
      <c r="C2477" s="109" t="s">
        <v>3236</v>
      </c>
      <c r="D2477" s="108" t="s">
        <v>2616</v>
      </c>
      <c r="E2477" s="113">
        <f>1*1.5*4</f>
        <v>6</v>
      </c>
    </row>
    <row r="2478" spans="1:6">
      <c r="A2478" s="112"/>
      <c r="B2478" s="108"/>
      <c r="C2478" s="109"/>
      <c r="D2478" s="108"/>
      <c r="E2478" s="113"/>
    </row>
    <row r="2479" spans="1:6">
      <c r="A2479" s="91" t="s">
        <v>3645</v>
      </c>
      <c r="B2479" s="110" t="s">
        <v>3767</v>
      </c>
      <c r="C2479" s="111" t="s">
        <v>3292</v>
      </c>
      <c r="D2479" s="110" t="s">
        <v>3056</v>
      </c>
      <c r="E2479" s="84">
        <f>ROUND((E2480),2)</f>
        <v>1</v>
      </c>
      <c r="F2479" s="204"/>
    </row>
    <row r="2480" spans="1:6">
      <c r="A2480" s="112"/>
      <c r="B2480" s="108"/>
      <c r="C2480" s="109" t="s">
        <v>3247</v>
      </c>
      <c r="D2480" s="108" t="s">
        <v>2723</v>
      </c>
      <c r="E2480" s="113">
        <v>1</v>
      </c>
    </row>
    <row r="2481" spans="1:5">
      <c r="A2481" s="112"/>
      <c r="B2481" s="108"/>
      <c r="C2481" s="109"/>
      <c r="D2481" s="108"/>
      <c r="E2481" s="113"/>
    </row>
    <row r="2482" spans="1:5" ht="39.6">
      <c r="A2482" s="96" t="s">
        <v>3978</v>
      </c>
      <c r="B2482" s="97" t="s">
        <v>2591</v>
      </c>
      <c r="C2482" s="103" t="s">
        <v>2861</v>
      </c>
      <c r="D2482" s="97" t="s">
        <v>2562</v>
      </c>
      <c r="E2482" s="74">
        <f>ROUND(SUM(E2484),22)</f>
        <v>3</v>
      </c>
    </row>
    <row r="2483" spans="1:5">
      <c r="A2483" s="96"/>
      <c r="B2483" s="97"/>
      <c r="C2483" s="100" t="s">
        <v>2704</v>
      </c>
      <c r="D2483" s="99"/>
      <c r="E2483" s="101"/>
    </row>
    <row r="2484" spans="1:5">
      <c r="A2484" s="96"/>
      <c r="B2484" s="97"/>
      <c r="C2484" s="102" t="s">
        <v>2742</v>
      </c>
      <c r="D2484" s="99" t="s">
        <v>2562</v>
      </c>
      <c r="E2484" s="101">
        <v>3</v>
      </c>
    </row>
    <row r="2485" spans="1:5">
      <c r="A2485" s="96"/>
      <c r="B2485" s="97"/>
      <c r="C2485" s="103"/>
      <c r="D2485" s="97"/>
      <c r="E2485" s="74"/>
    </row>
    <row r="2486" spans="1:5" ht="26.4">
      <c r="A2486" s="96" t="s">
        <v>3979</v>
      </c>
      <c r="B2486" s="97" t="s">
        <v>2592</v>
      </c>
      <c r="C2486" s="103" t="s">
        <v>2862</v>
      </c>
      <c r="D2486" s="97" t="s">
        <v>2723</v>
      </c>
      <c r="E2486" s="74">
        <f>ROUND(SUM(E2488:E2490),22)</f>
        <v>8</v>
      </c>
    </row>
    <row r="2487" spans="1:5">
      <c r="A2487" s="96"/>
      <c r="B2487" s="97"/>
      <c r="C2487" s="100" t="s">
        <v>2704</v>
      </c>
      <c r="D2487" s="99"/>
      <c r="E2487" s="101"/>
    </row>
    <row r="2488" spans="1:5">
      <c r="A2488" s="96"/>
      <c r="B2488" s="97"/>
      <c r="C2488" s="102" t="s">
        <v>2743</v>
      </c>
      <c r="D2488" s="99" t="s">
        <v>2930</v>
      </c>
      <c r="E2488" s="101">
        <v>1</v>
      </c>
    </row>
    <row r="2489" spans="1:5">
      <c r="A2489" s="96"/>
      <c r="B2489" s="97"/>
      <c r="C2489" s="102" t="s">
        <v>2744</v>
      </c>
      <c r="D2489" s="99" t="s">
        <v>2930</v>
      </c>
      <c r="E2489" s="101">
        <v>6</v>
      </c>
    </row>
    <row r="2490" spans="1:5">
      <c r="A2490" s="96"/>
      <c r="B2490" s="97"/>
      <c r="C2490" s="102" t="s">
        <v>2745</v>
      </c>
      <c r="D2490" s="99" t="s">
        <v>2930</v>
      </c>
      <c r="E2490" s="101">
        <v>1</v>
      </c>
    </row>
    <row r="2491" spans="1:5">
      <c r="A2491" s="96"/>
      <c r="B2491" s="97"/>
      <c r="C2491" s="103"/>
      <c r="D2491" s="97"/>
      <c r="E2491" s="74"/>
    </row>
    <row r="2492" spans="1:5" ht="39.6">
      <c r="A2492" s="96" t="s">
        <v>3980</v>
      </c>
      <c r="B2492" s="97" t="s">
        <v>2593</v>
      </c>
      <c r="C2492" s="103" t="s">
        <v>2863</v>
      </c>
      <c r="D2492" s="97" t="s">
        <v>2723</v>
      </c>
      <c r="E2492" s="74">
        <f>ROUND(E2493,2)</f>
        <v>1</v>
      </c>
    </row>
    <row r="2493" spans="1:5">
      <c r="A2493" s="96"/>
      <c r="B2493" s="97"/>
      <c r="C2493" s="104" t="s">
        <v>2746</v>
      </c>
      <c r="D2493" s="99" t="s">
        <v>2562</v>
      </c>
      <c r="E2493" s="101">
        <v>1</v>
      </c>
    </row>
    <row r="2494" spans="1:5">
      <c r="A2494" s="96"/>
      <c r="B2494" s="97"/>
      <c r="C2494" s="104"/>
      <c r="D2494" s="99"/>
      <c r="E2494" s="101"/>
    </row>
    <row r="2495" spans="1:5">
      <c r="A2495" s="37"/>
      <c r="B2495" s="53"/>
      <c r="C2495" s="27"/>
      <c r="D2495" s="53"/>
      <c r="E2495" s="77"/>
    </row>
    <row r="2496" spans="1:5">
      <c r="A2496" s="37"/>
      <c r="B2496" s="53"/>
      <c r="C2496" s="27"/>
      <c r="D2496" s="53"/>
      <c r="E2496" s="77"/>
    </row>
    <row r="2497" spans="1:6">
      <c r="A2497" s="32"/>
      <c r="B2497" s="54">
        <v>190000</v>
      </c>
      <c r="C2497" s="29" t="s">
        <v>1696</v>
      </c>
      <c r="D2497" s="54"/>
      <c r="E2497" s="78"/>
    </row>
    <row r="2498" spans="1:6" hidden="1">
      <c r="A2498" s="37"/>
      <c r="B2498" s="51">
        <v>190101</v>
      </c>
      <c r="C2498" s="82" t="s">
        <v>1697</v>
      </c>
      <c r="D2498" s="51" t="s">
        <v>12</v>
      </c>
      <c r="E2498" s="77"/>
    </row>
    <row r="2499" spans="1:6" hidden="1">
      <c r="A2499" s="37"/>
      <c r="B2499" s="51">
        <v>190102</v>
      </c>
      <c r="C2499" s="82" t="s">
        <v>1698</v>
      </c>
      <c r="D2499" s="51" t="s">
        <v>12</v>
      </c>
      <c r="E2499" s="77"/>
    </row>
    <row r="2500" spans="1:6" hidden="1">
      <c r="A2500" s="37"/>
      <c r="B2500" s="51">
        <v>190103</v>
      </c>
      <c r="C2500" s="82" t="s">
        <v>1699</v>
      </c>
      <c r="D2500" s="51" t="s">
        <v>12</v>
      </c>
      <c r="E2500" s="77"/>
    </row>
    <row r="2501" spans="1:6" hidden="1">
      <c r="A2501" s="37"/>
      <c r="B2501" s="51">
        <v>190104</v>
      </c>
      <c r="C2501" s="82" t="s">
        <v>1700</v>
      </c>
      <c r="D2501" s="51" t="s">
        <v>12</v>
      </c>
      <c r="E2501" s="77"/>
    </row>
    <row r="2502" spans="1:6" hidden="1">
      <c r="A2502" s="37"/>
      <c r="B2502" s="51">
        <v>190105</v>
      </c>
      <c r="C2502" s="82" t="s">
        <v>1701</v>
      </c>
      <c r="D2502" s="51" t="s">
        <v>12</v>
      </c>
      <c r="E2502" s="77"/>
    </row>
    <row r="2503" spans="1:6" hidden="1">
      <c r="A2503" s="37"/>
      <c r="B2503" s="51">
        <v>190106</v>
      </c>
      <c r="C2503" s="82" t="s">
        <v>1702</v>
      </c>
      <c r="D2503" s="51" t="s">
        <v>12</v>
      </c>
      <c r="E2503" s="77"/>
    </row>
    <row r="2504" spans="1:6" hidden="1">
      <c r="A2504" s="37"/>
      <c r="B2504" s="51">
        <v>190108</v>
      </c>
      <c r="C2504" s="82" t="s">
        <v>1703</v>
      </c>
      <c r="D2504" s="51" t="s">
        <v>12</v>
      </c>
      <c r="E2504" s="77"/>
    </row>
    <row r="2505" spans="1:6" hidden="1">
      <c r="A2505" s="37"/>
      <c r="B2505" s="51">
        <v>190109</v>
      </c>
      <c r="C2505" s="82" t="s">
        <v>1704</v>
      </c>
      <c r="D2505" s="51" t="s">
        <v>12</v>
      </c>
      <c r="E2505" s="77"/>
    </row>
    <row r="2506" spans="1:6" hidden="1">
      <c r="A2506" s="37"/>
      <c r="B2506" s="51">
        <v>190201</v>
      </c>
      <c r="C2506" s="82" t="s">
        <v>1705</v>
      </c>
      <c r="D2506" s="51" t="s">
        <v>12</v>
      </c>
      <c r="E2506" s="77"/>
    </row>
    <row r="2507" spans="1:6" hidden="1">
      <c r="A2507" s="37"/>
      <c r="B2507" s="51">
        <v>190202</v>
      </c>
      <c r="C2507" s="82" t="s">
        <v>1706</v>
      </c>
      <c r="D2507" s="51" t="s">
        <v>12</v>
      </c>
      <c r="E2507" s="77"/>
    </row>
    <row r="2508" spans="1:6" hidden="1">
      <c r="A2508" s="37"/>
      <c r="B2508" s="51">
        <v>190301</v>
      </c>
      <c r="C2508" s="82" t="s">
        <v>1707</v>
      </c>
      <c r="D2508" s="51" t="s">
        <v>12</v>
      </c>
      <c r="E2508" s="77"/>
    </row>
    <row r="2509" spans="1:6" hidden="1">
      <c r="A2509" s="37"/>
      <c r="B2509" s="51">
        <v>190401</v>
      </c>
      <c r="C2509" s="82" t="s">
        <v>1708</v>
      </c>
      <c r="D2509" s="51" t="s">
        <v>12</v>
      </c>
      <c r="E2509" s="77"/>
    </row>
    <row r="2510" spans="1:6">
      <c r="A2510" s="32">
        <v>11</v>
      </c>
      <c r="B2510" s="54">
        <v>200000</v>
      </c>
      <c r="C2510" s="29" t="s">
        <v>1709</v>
      </c>
      <c r="D2510" s="54"/>
      <c r="E2510" s="78"/>
    </row>
    <row r="2511" spans="1:6">
      <c r="A2511" s="91" t="s">
        <v>3646</v>
      </c>
      <c r="B2511" s="56">
        <v>200101</v>
      </c>
      <c r="C2511" s="83" t="s">
        <v>1710</v>
      </c>
      <c r="D2511" s="56" t="s">
        <v>12</v>
      </c>
      <c r="E2511" s="84">
        <f>ROUND(SUM(E2513:E2520),2)</f>
        <v>24.95</v>
      </c>
      <c r="F2511" s="166"/>
    </row>
    <row r="2512" spans="1:6">
      <c r="A2512" s="91"/>
      <c r="B2512" s="56"/>
      <c r="C2512" s="100" t="s">
        <v>2688</v>
      </c>
      <c r="D2512" s="56"/>
      <c r="E2512" s="74"/>
      <c r="F2512" s="171"/>
    </row>
    <row r="2513" spans="1:6" ht="22.2" customHeight="1">
      <c r="A2513" s="91"/>
      <c r="B2513" s="56"/>
      <c r="C2513" s="104" t="s">
        <v>2628</v>
      </c>
      <c r="D2513" s="99" t="s">
        <v>12</v>
      </c>
      <c r="E2513" s="113">
        <f>E2205*2</f>
        <v>4.2</v>
      </c>
    </row>
    <row r="2514" spans="1:6" ht="20.399999999999999" customHeight="1">
      <c r="A2514" s="91"/>
      <c r="B2514" s="56"/>
      <c r="C2514" s="104" t="s">
        <v>2629</v>
      </c>
      <c r="D2514" s="99" t="s">
        <v>12</v>
      </c>
      <c r="E2514" s="113">
        <f>E2206*2</f>
        <v>6</v>
      </c>
    </row>
    <row r="2515" spans="1:6" ht="34.200000000000003">
      <c r="A2515" s="91"/>
      <c r="B2515" s="56"/>
      <c r="C2515" s="104" t="s">
        <v>3077</v>
      </c>
      <c r="D2515" s="99" t="s">
        <v>12</v>
      </c>
      <c r="E2515" s="113">
        <f>1.64*2</f>
        <v>3.28</v>
      </c>
    </row>
    <row r="2516" spans="1:6" ht="22.8">
      <c r="A2516" s="91"/>
      <c r="B2516" s="56"/>
      <c r="C2516" s="104" t="s">
        <v>3160</v>
      </c>
      <c r="D2516" s="99" t="s">
        <v>12</v>
      </c>
      <c r="E2516" s="113">
        <f>E2208*2</f>
        <v>4</v>
      </c>
    </row>
    <row r="2517" spans="1:6" ht="22.8">
      <c r="A2517" s="91"/>
      <c r="B2517" s="56"/>
      <c r="C2517" s="104" t="s">
        <v>3152</v>
      </c>
      <c r="D2517" s="99" t="s">
        <v>12</v>
      </c>
      <c r="E2517" s="113">
        <f>E2209*2</f>
        <v>4.2</v>
      </c>
    </row>
    <row r="2518" spans="1:6" ht="22.8">
      <c r="A2518" s="91"/>
      <c r="B2518" s="56"/>
      <c r="C2518" s="104" t="s">
        <v>2684</v>
      </c>
      <c r="D2518" s="99" t="s">
        <v>12</v>
      </c>
      <c r="E2518" s="113">
        <f>E2210*2</f>
        <v>0.39269908169872414</v>
      </c>
    </row>
    <row r="2519" spans="1:6" ht="34.200000000000003">
      <c r="A2519" s="91"/>
      <c r="B2519" s="56"/>
      <c r="C2519" s="104" t="s">
        <v>3098</v>
      </c>
      <c r="D2519" s="99" t="s">
        <v>12</v>
      </c>
      <c r="E2519" s="113">
        <f>0.72*2</f>
        <v>1.44</v>
      </c>
    </row>
    <row r="2520" spans="1:6" ht="34.200000000000003">
      <c r="A2520" s="91"/>
      <c r="B2520" s="56"/>
      <c r="C2520" s="104" t="s">
        <v>3112</v>
      </c>
      <c r="D2520" s="99" t="s">
        <v>12</v>
      </c>
      <c r="E2520" s="113">
        <f>0.72*2</f>
        <v>1.44</v>
      </c>
    </row>
    <row r="2521" spans="1:6">
      <c r="A2521" s="91"/>
      <c r="B2521" s="56"/>
      <c r="C2521" s="104"/>
      <c r="D2521" s="99"/>
      <c r="E2521" s="113"/>
    </row>
    <row r="2522" spans="1:6" hidden="1">
      <c r="A2522" s="91"/>
      <c r="B2522" s="56"/>
      <c r="C2522" s="83"/>
      <c r="D2522" s="56"/>
      <c r="E2522" s="84"/>
    </row>
    <row r="2523" spans="1:6" hidden="1">
      <c r="A2523" s="91"/>
      <c r="B2523" s="56">
        <v>200102</v>
      </c>
      <c r="C2523" s="83" t="s">
        <v>1711</v>
      </c>
      <c r="D2523" s="56" t="s">
        <v>39</v>
      </c>
      <c r="E2523" s="84"/>
    </row>
    <row r="2524" spans="1:6">
      <c r="A2524" s="91" t="s">
        <v>2833</v>
      </c>
      <c r="B2524" s="56">
        <v>200103</v>
      </c>
      <c r="C2524" s="83" t="s">
        <v>1712</v>
      </c>
      <c r="D2524" s="97" t="s">
        <v>2114</v>
      </c>
      <c r="E2524" s="84">
        <f>ROUND(SUM(E2526:E2530),2)</f>
        <v>8.8000000000000007</v>
      </c>
      <c r="F2524" s="166"/>
    </row>
    <row r="2525" spans="1:6" ht="22.8">
      <c r="A2525" s="34"/>
      <c r="B2525" s="56"/>
      <c r="C2525" s="100" t="s">
        <v>2753</v>
      </c>
      <c r="D2525" s="99"/>
      <c r="E2525" s="101"/>
    </row>
    <row r="2526" spans="1:6" ht="22.8">
      <c r="A2526" s="34"/>
      <c r="B2526" s="56"/>
      <c r="C2526" s="102" t="s">
        <v>3715</v>
      </c>
      <c r="D2526" s="99" t="s">
        <v>2114</v>
      </c>
      <c r="E2526" s="101">
        <v>3</v>
      </c>
    </row>
    <row r="2527" spans="1:6" ht="22.8">
      <c r="A2527" s="34"/>
      <c r="B2527" s="56"/>
      <c r="C2527" s="102" t="s">
        <v>3461</v>
      </c>
      <c r="D2527" s="99" t="s">
        <v>2114</v>
      </c>
      <c r="E2527" s="113">
        <v>3</v>
      </c>
    </row>
    <row r="2528" spans="1:6" ht="22.8">
      <c r="A2528" s="112"/>
      <c r="B2528" s="99"/>
      <c r="C2528" s="104" t="s">
        <v>2689</v>
      </c>
      <c r="D2528" s="99" t="s">
        <v>39</v>
      </c>
      <c r="E2528" s="113">
        <v>2.2000000000000002</v>
      </c>
    </row>
    <row r="2529" spans="1:6">
      <c r="A2529" s="112"/>
      <c r="B2529" s="99"/>
      <c r="C2529" s="104"/>
      <c r="D2529" s="99"/>
      <c r="E2529" s="113"/>
    </row>
    <row r="2530" spans="1:6" ht="45.6">
      <c r="A2530" s="112"/>
      <c r="B2530" s="99"/>
      <c r="C2530" s="104" t="s">
        <v>2923</v>
      </c>
      <c r="D2530" s="99" t="s">
        <v>39</v>
      </c>
      <c r="E2530" s="113">
        <v>0.6</v>
      </c>
    </row>
    <row r="2531" spans="1:6">
      <c r="A2531" s="34"/>
      <c r="B2531" s="56"/>
      <c r="C2531" s="83"/>
      <c r="D2531" s="56"/>
      <c r="E2531" s="84"/>
    </row>
    <row r="2532" spans="1:6" hidden="1">
      <c r="A2532" s="34"/>
      <c r="B2532" s="56">
        <v>200104</v>
      </c>
      <c r="C2532" s="83" t="s">
        <v>1713</v>
      </c>
      <c r="D2532" s="56" t="s">
        <v>12</v>
      </c>
      <c r="E2532" s="84"/>
    </row>
    <row r="2533" spans="1:6" hidden="1">
      <c r="A2533" s="34"/>
      <c r="B2533" s="56">
        <v>200105</v>
      </c>
      <c r="C2533" s="83" t="s">
        <v>1714</v>
      </c>
      <c r="D2533" s="56" t="s">
        <v>12</v>
      </c>
      <c r="E2533" s="84"/>
    </row>
    <row r="2534" spans="1:6" hidden="1">
      <c r="A2534" s="34"/>
      <c r="B2534" s="56">
        <v>200140</v>
      </c>
      <c r="C2534" s="83" t="s">
        <v>1715</v>
      </c>
      <c r="D2534" s="56" t="s">
        <v>12</v>
      </c>
      <c r="E2534" s="84"/>
    </row>
    <row r="2535" spans="1:6" hidden="1">
      <c r="A2535" s="34"/>
      <c r="B2535" s="56">
        <v>200145</v>
      </c>
      <c r="C2535" s="83" t="s">
        <v>1716</v>
      </c>
      <c r="D2535" s="56" t="s">
        <v>12</v>
      </c>
      <c r="E2535" s="84"/>
    </row>
    <row r="2536" spans="1:6" hidden="1">
      <c r="A2536" s="34"/>
      <c r="B2536" s="56">
        <v>200150</v>
      </c>
      <c r="C2536" s="83" t="s">
        <v>1717</v>
      </c>
      <c r="D2536" s="56" t="s">
        <v>12</v>
      </c>
      <c r="E2536" s="84"/>
    </row>
    <row r="2537" spans="1:6" hidden="1">
      <c r="A2537" s="34"/>
      <c r="B2537" s="56">
        <v>200200</v>
      </c>
      <c r="C2537" s="83" t="s">
        <v>1718</v>
      </c>
      <c r="D2537" s="56" t="s">
        <v>12</v>
      </c>
      <c r="E2537" s="84"/>
    </row>
    <row r="2538" spans="1:6" hidden="1">
      <c r="A2538" s="34"/>
      <c r="B2538" s="56">
        <v>200201</v>
      </c>
      <c r="C2538" s="83" t="s">
        <v>1719</v>
      </c>
      <c r="D2538" s="56" t="s">
        <v>12</v>
      </c>
      <c r="E2538" s="84"/>
    </row>
    <row r="2539" spans="1:6" hidden="1">
      <c r="A2539" s="34"/>
      <c r="B2539" s="56">
        <v>200403</v>
      </c>
      <c r="C2539" s="83" t="s">
        <v>1720</v>
      </c>
      <c r="D2539" s="56" t="s">
        <v>12</v>
      </c>
      <c r="E2539" s="84"/>
      <c r="F2539" s="171"/>
    </row>
    <row r="2540" spans="1:6">
      <c r="A2540" s="91" t="s">
        <v>3647</v>
      </c>
      <c r="B2540" s="56">
        <v>200499</v>
      </c>
      <c r="C2540" s="83" t="s">
        <v>1721</v>
      </c>
      <c r="D2540" s="56" t="s">
        <v>12</v>
      </c>
      <c r="E2540" s="74">
        <f>ROUND(SUM(E2542:E2570),2)</f>
        <v>60.58</v>
      </c>
      <c r="F2540" s="252"/>
    </row>
    <row r="2541" spans="1:6">
      <c r="A2541" s="34"/>
      <c r="B2541" s="56"/>
      <c r="C2541" s="100" t="s">
        <v>2688</v>
      </c>
      <c r="D2541" s="56"/>
      <c r="E2541" s="74"/>
      <c r="F2541" s="171"/>
    </row>
    <row r="2542" spans="1:6" ht="22.8">
      <c r="A2542" s="34"/>
      <c r="B2542" s="56"/>
      <c r="C2542" s="104" t="s">
        <v>2686</v>
      </c>
      <c r="D2542" s="99" t="s">
        <v>12</v>
      </c>
      <c r="E2542" s="113">
        <f>E2205*2</f>
        <v>4.2</v>
      </c>
    </row>
    <row r="2543" spans="1:6" ht="22.8">
      <c r="A2543" s="34"/>
      <c r="B2543" s="56"/>
      <c r="C2543" s="104" t="s">
        <v>2685</v>
      </c>
      <c r="D2543" s="99" t="s">
        <v>12</v>
      </c>
      <c r="E2543" s="113">
        <f>E2206*2</f>
        <v>6</v>
      </c>
    </row>
    <row r="2544" spans="1:6" ht="34.200000000000003">
      <c r="A2544" s="34"/>
      <c r="B2544" s="56"/>
      <c r="C2544" s="104" t="s">
        <v>3077</v>
      </c>
      <c r="D2544" s="99" t="s">
        <v>12</v>
      </c>
      <c r="E2544" s="113">
        <f>1.64*2</f>
        <v>3.28</v>
      </c>
    </row>
    <row r="2545" spans="1:6" ht="22.8">
      <c r="A2545" s="34"/>
      <c r="B2545" s="56"/>
      <c r="C2545" s="104" t="s">
        <v>3068</v>
      </c>
      <c r="D2545" s="99" t="s">
        <v>12</v>
      </c>
      <c r="E2545" s="113">
        <f>E2208*2</f>
        <v>4</v>
      </c>
    </row>
    <row r="2546" spans="1:6" ht="22.8">
      <c r="A2546" s="34"/>
      <c r="B2546" s="56"/>
      <c r="C2546" s="104" t="s">
        <v>3151</v>
      </c>
      <c r="D2546" s="99" t="s">
        <v>12</v>
      </c>
      <c r="E2546" s="113">
        <f>E2209*2</f>
        <v>4.2</v>
      </c>
    </row>
    <row r="2547" spans="1:6" ht="22.8">
      <c r="A2547" s="34"/>
      <c r="B2547" s="56"/>
      <c r="C2547" s="104" t="s">
        <v>3365</v>
      </c>
      <c r="D2547" s="99" t="s">
        <v>12</v>
      </c>
      <c r="E2547" s="113">
        <f>E2210*2</f>
        <v>0.39269908169872414</v>
      </c>
    </row>
    <row r="2548" spans="1:6" ht="22.8">
      <c r="A2548" s="34"/>
      <c r="B2548" s="56"/>
      <c r="C2548" s="104" t="s">
        <v>3375</v>
      </c>
      <c r="D2548" s="99" t="s">
        <v>12</v>
      </c>
      <c r="E2548" s="113">
        <f>0.4*0.5</f>
        <v>0.2</v>
      </c>
      <c r="F2548" s="172"/>
    </row>
    <row r="2549" spans="1:6" ht="22.8">
      <c r="A2549" s="34"/>
      <c r="B2549" s="56"/>
      <c r="C2549" s="104" t="s">
        <v>2630</v>
      </c>
      <c r="D2549" s="99" t="s">
        <v>12</v>
      </c>
      <c r="E2549" s="113">
        <f>(2.1+1+2.1)*0.15</f>
        <v>0.78</v>
      </c>
    </row>
    <row r="2550" spans="1:6" ht="22.8">
      <c r="A2550" s="34"/>
      <c r="B2550" s="56"/>
      <c r="C2550" s="104" t="s">
        <v>2631</v>
      </c>
      <c r="D2550" s="99" t="s">
        <v>12</v>
      </c>
      <c r="E2550" s="113">
        <f>(2.1+1+2.1)*0.15</f>
        <v>0.78</v>
      </c>
    </row>
    <row r="2551" spans="1:6" hidden="1">
      <c r="A2551" s="34"/>
      <c r="B2551" s="56"/>
      <c r="C2551" s="104"/>
      <c r="D2551" s="99"/>
      <c r="E2551" s="113"/>
    </row>
    <row r="2552" spans="1:6" ht="22.8">
      <c r="A2552" s="34"/>
      <c r="B2552" s="56"/>
      <c r="C2552" s="104" t="s">
        <v>2632</v>
      </c>
      <c r="D2552" s="99" t="s">
        <v>12</v>
      </c>
      <c r="E2552" s="113">
        <f>(2.1+1+2.1)*0.15</f>
        <v>0.78</v>
      </c>
    </row>
    <row r="2553" spans="1:6" ht="22.8">
      <c r="A2553" s="34"/>
      <c r="B2553" s="56"/>
      <c r="C2553" s="104" t="s">
        <v>3143</v>
      </c>
      <c r="D2553" s="99" t="s">
        <v>12</v>
      </c>
      <c r="E2553" s="113">
        <f>(2.1+1+2.1)*0.15</f>
        <v>0.78</v>
      </c>
    </row>
    <row r="2554" spans="1:6" ht="34.200000000000003">
      <c r="A2554" s="34"/>
      <c r="B2554" s="56"/>
      <c r="C2554" s="104" t="s">
        <v>3145</v>
      </c>
      <c r="D2554" s="99" t="s">
        <v>12</v>
      </c>
      <c r="E2554" s="113">
        <f>(((1.5+1+1.5+1)*3)+((2+2+1+1)*2))*0.15</f>
        <v>4.05</v>
      </c>
    </row>
    <row r="2555" spans="1:6" ht="22.8">
      <c r="A2555" s="34"/>
      <c r="B2555" s="56"/>
      <c r="C2555" s="104" t="s">
        <v>3146</v>
      </c>
      <c r="D2555" s="99" t="s">
        <v>12</v>
      </c>
      <c r="E2555" s="113">
        <f>6*0.15</f>
        <v>0.89999999999999991</v>
      </c>
    </row>
    <row r="2556" spans="1:6" ht="34.200000000000003">
      <c r="A2556" s="34"/>
      <c r="B2556" s="56"/>
      <c r="C2556" s="104" t="s">
        <v>3069</v>
      </c>
      <c r="D2556" s="99" t="s">
        <v>12</v>
      </c>
      <c r="E2556" s="113">
        <f>6*0.15</f>
        <v>0.89999999999999991</v>
      </c>
    </row>
    <row r="2557" spans="1:6" hidden="1">
      <c r="A2557" s="34"/>
      <c r="B2557" s="56"/>
      <c r="C2557" s="104"/>
      <c r="D2557" s="99"/>
      <c r="E2557" s="113"/>
    </row>
    <row r="2558" spans="1:6" ht="34.200000000000003">
      <c r="A2558" s="34"/>
      <c r="B2558" s="56"/>
      <c r="C2558" s="104" t="s">
        <v>3099</v>
      </c>
      <c r="D2558" s="99" t="s">
        <v>12</v>
      </c>
      <c r="E2558" s="113">
        <f xml:space="preserve"> ((4 + 2.25 + 4 + 2.25) + (2.3 + 2.25 + 2.3 + 2.25) + (2.85 + 2.85 + 2.25 + 2.25))*0.15</f>
        <v>4.7699999999999996</v>
      </c>
    </row>
    <row r="2559" spans="1:6" ht="34.200000000000003">
      <c r="A2559" s="91"/>
      <c r="B2559" s="56"/>
      <c r="C2559" s="104" t="s">
        <v>3098</v>
      </c>
      <c r="D2559" s="99" t="s">
        <v>12</v>
      </c>
      <c r="E2559" s="113">
        <f>0.72*2</f>
        <v>1.44</v>
      </c>
    </row>
    <row r="2560" spans="1:6" ht="22.8">
      <c r="A2560" s="34"/>
      <c r="B2560" s="56"/>
      <c r="C2560" s="104" t="s">
        <v>3100</v>
      </c>
      <c r="D2560" s="99" t="s">
        <v>12</v>
      </c>
      <c r="E2560" s="113">
        <f>(0.15+0.15+0.15+0.15)*3</f>
        <v>1.7999999999999998</v>
      </c>
    </row>
    <row r="2561" spans="1:5" ht="34.200000000000003">
      <c r="A2561" s="34"/>
      <c r="B2561" s="56"/>
      <c r="C2561" s="104" t="s">
        <v>3103</v>
      </c>
      <c r="D2561" s="99" t="s">
        <v>12</v>
      </c>
      <c r="E2561" s="113">
        <f>29.3*0.15</f>
        <v>4.3949999999999996</v>
      </c>
    </row>
    <row r="2562" spans="1:5" ht="22.8">
      <c r="A2562" s="34"/>
      <c r="B2562" s="56"/>
      <c r="C2562" s="104" t="s">
        <v>3102</v>
      </c>
      <c r="D2562" s="99" t="s">
        <v>12</v>
      </c>
      <c r="E2562" s="113">
        <f>(0.15+0.15+0.15+0.15)*3</f>
        <v>1.7999999999999998</v>
      </c>
    </row>
    <row r="2563" spans="1:5" ht="34.200000000000003">
      <c r="A2563" s="34"/>
      <c r="B2563" s="56"/>
      <c r="C2563" s="104" t="s">
        <v>3104</v>
      </c>
      <c r="D2563" s="99" t="s">
        <v>12</v>
      </c>
      <c r="E2563" s="113">
        <f>29.3*0.15</f>
        <v>4.3949999999999996</v>
      </c>
    </row>
    <row r="2564" spans="1:5" ht="22.8">
      <c r="A2564" s="34"/>
      <c r="B2564" s="56"/>
      <c r="C2564" s="104" t="s">
        <v>3107</v>
      </c>
      <c r="D2564" s="99" t="s">
        <v>12</v>
      </c>
      <c r="E2564" s="113">
        <f>(0.15+0.15+0.15+0.15+0.15+0.15)*3</f>
        <v>2.7</v>
      </c>
    </row>
    <row r="2565" spans="1:5" ht="34.200000000000003">
      <c r="A2565" s="34"/>
      <c r="B2565" s="56"/>
      <c r="C2565" s="104" t="s">
        <v>3109</v>
      </c>
      <c r="D2565" s="99" t="s">
        <v>12</v>
      </c>
      <c r="E2565" s="113">
        <f>29.3*0.15</f>
        <v>4.3949999999999996</v>
      </c>
    </row>
    <row r="2566" spans="1:5" ht="22.8">
      <c r="A2566" s="34"/>
      <c r="B2566" s="56"/>
      <c r="C2566" s="104" t="s">
        <v>3364</v>
      </c>
      <c r="D2566" s="99" t="s">
        <v>12</v>
      </c>
      <c r="E2566" s="113">
        <f>(0.15+0.15+0.15+0.15)*3</f>
        <v>1.7999999999999998</v>
      </c>
    </row>
    <row r="2567" spans="1:5" ht="34.200000000000003">
      <c r="A2567" s="91"/>
      <c r="B2567" s="56"/>
      <c r="C2567" s="104" t="s">
        <v>3112</v>
      </c>
      <c r="D2567" s="99" t="s">
        <v>12</v>
      </c>
      <c r="E2567" s="113">
        <f>0.72*2</f>
        <v>1.44</v>
      </c>
    </row>
    <row r="2568" spans="1:5" hidden="1">
      <c r="A2568" s="34"/>
      <c r="B2568" s="56"/>
      <c r="C2568" s="104"/>
      <c r="D2568" s="99"/>
      <c r="E2568" s="113"/>
    </row>
    <row r="2569" spans="1:5" hidden="1">
      <c r="A2569" s="91"/>
      <c r="B2569" s="56"/>
      <c r="C2569" s="104"/>
      <c r="D2569" s="99"/>
      <c r="E2569" s="113"/>
    </row>
    <row r="2570" spans="1:5" ht="22.8">
      <c r="A2570" s="91"/>
      <c r="B2570" s="56"/>
      <c r="C2570" s="104" t="s">
        <v>3270</v>
      </c>
      <c r="D2570" s="99" t="s">
        <v>12</v>
      </c>
      <c r="E2570" s="113">
        <v>0.4</v>
      </c>
    </row>
    <row r="2571" spans="1:5">
      <c r="A2571" s="37"/>
      <c r="B2571" s="51"/>
      <c r="C2571" s="82"/>
      <c r="D2571" s="51"/>
      <c r="E2571" s="77"/>
    </row>
    <row r="2572" spans="1:5" hidden="1">
      <c r="A2572" s="37"/>
      <c r="B2572" s="51">
        <v>200500</v>
      </c>
      <c r="C2572" s="82" t="s">
        <v>1722</v>
      </c>
      <c r="D2572" s="51" t="s">
        <v>12</v>
      </c>
      <c r="E2572" s="80"/>
    </row>
    <row r="2573" spans="1:5" hidden="1">
      <c r="A2573" s="37"/>
      <c r="B2573" s="51">
        <v>200502</v>
      </c>
      <c r="C2573" s="82" t="s">
        <v>1723</v>
      </c>
      <c r="D2573" s="51" t="s">
        <v>12</v>
      </c>
      <c r="E2573" s="80"/>
    </row>
    <row r="2574" spans="1:5" hidden="1">
      <c r="A2574" s="37"/>
      <c r="B2574" s="51">
        <v>200503</v>
      </c>
      <c r="C2574" s="82" t="s">
        <v>1724</v>
      </c>
      <c r="D2574" s="51" t="s">
        <v>12</v>
      </c>
      <c r="E2574" s="80"/>
    </row>
    <row r="2575" spans="1:5" hidden="1">
      <c r="A2575" s="37"/>
      <c r="B2575" s="51">
        <v>200504</v>
      </c>
      <c r="C2575" s="82" t="s">
        <v>1725</v>
      </c>
      <c r="D2575" s="51" t="s">
        <v>12</v>
      </c>
      <c r="E2575" s="80"/>
    </row>
    <row r="2576" spans="1:5" ht="26.4" hidden="1">
      <c r="A2576" s="37"/>
      <c r="B2576" s="51">
        <v>200505</v>
      </c>
      <c r="C2576" s="82" t="s">
        <v>1726</v>
      </c>
      <c r="D2576" s="51" t="s">
        <v>12</v>
      </c>
      <c r="E2576" s="80"/>
    </row>
    <row r="2577" spans="1:6" hidden="1">
      <c r="A2577" s="37"/>
      <c r="B2577" s="51">
        <v>200506</v>
      </c>
      <c r="C2577" s="82" t="s">
        <v>1727</v>
      </c>
      <c r="D2577" s="51" t="s">
        <v>12</v>
      </c>
      <c r="E2577" s="80"/>
    </row>
    <row r="2578" spans="1:6" hidden="1">
      <c r="A2578" s="37"/>
      <c r="B2578" s="51">
        <v>201002</v>
      </c>
      <c r="C2578" s="82" t="s">
        <v>1728</v>
      </c>
      <c r="D2578" s="51" t="s">
        <v>12</v>
      </c>
      <c r="E2578" s="80"/>
    </row>
    <row r="2579" spans="1:6" hidden="1">
      <c r="A2579" s="37"/>
      <c r="B2579" s="51">
        <v>201003</v>
      </c>
      <c r="C2579" s="82" t="s">
        <v>1729</v>
      </c>
      <c r="D2579" s="51" t="s">
        <v>12</v>
      </c>
      <c r="E2579" s="80"/>
    </row>
    <row r="2580" spans="1:6" hidden="1">
      <c r="A2580" s="37"/>
      <c r="B2580" s="51">
        <v>201201</v>
      </c>
      <c r="C2580" s="82" t="s">
        <v>1730</v>
      </c>
      <c r="D2580" s="51" t="s">
        <v>12</v>
      </c>
      <c r="E2580" s="80"/>
    </row>
    <row r="2581" spans="1:6" hidden="1">
      <c r="A2581" s="37"/>
      <c r="B2581" s="51">
        <v>201202</v>
      </c>
      <c r="C2581" s="82" t="s">
        <v>1731</v>
      </c>
      <c r="D2581" s="51" t="s">
        <v>12</v>
      </c>
      <c r="E2581" s="80"/>
    </row>
    <row r="2582" spans="1:6" hidden="1">
      <c r="A2582" s="37"/>
      <c r="B2582" s="51">
        <v>201302</v>
      </c>
      <c r="C2582" s="82" t="s">
        <v>1732</v>
      </c>
      <c r="D2582" s="51" t="s">
        <v>12</v>
      </c>
      <c r="E2582" s="80"/>
    </row>
    <row r="2583" spans="1:6" hidden="1">
      <c r="A2583" s="37"/>
      <c r="B2583" s="51">
        <v>201304</v>
      </c>
      <c r="C2583" s="82" t="s">
        <v>1733</v>
      </c>
      <c r="D2583" s="51" t="s">
        <v>12</v>
      </c>
      <c r="E2583" s="80"/>
    </row>
    <row r="2584" spans="1:6" hidden="1">
      <c r="A2584" s="37"/>
      <c r="B2584" s="51">
        <v>201305</v>
      </c>
      <c r="C2584" s="82" t="s">
        <v>1734</v>
      </c>
      <c r="D2584" s="51" t="s">
        <v>39</v>
      </c>
      <c r="E2584" s="80"/>
    </row>
    <row r="2585" spans="1:6" hidden="1">
      <c r="A2585" s="37"/>
      <c r="B2585" s="51">
        <v>201306</v>
      </c>
      <c r="C2585" s="82" t="s">
        <v>1735</v>
      </c>
      <c r="D2585" s="51" t="s">
        <v>39</v>
      </c>
      <c r="E2585" s="80"/>
    </row>
    <row r="2586" spans="1:6" hidden="1">
      <c r="A2586" s="37"/>
      <c r="B2586" s="51">
        <v>201371</v>
      </c>
      <c r="C2586" s="82" t="s">
        <v>1736</v>
      </c>
      <c r="D2586" s="51" t="s">
        <v>12</v>
      </c>
      <c r="E2586" s="77"/>
    </row>
    <row r="2587" spans="1:6" hidden="1">
      <c r="A2587" s="37"/>
      <c r="B2587" s="51">
        <v>201401</v>
      </c>
      <c r="C2587" s="82" t="s">
        <v>1737</v>
      </c>
      <c r="D2587" s="51" t="s">
        <v>12</v>
      </c>
      <c r="E2587" s="77"/>
    </row>
    <row r="2588" spans="1:6" hidden="1">
      <c r="A2588" s="37"/>
      <c r="B2588" s="51">
        <v>201402</v>
      </c>
      <c r="C2588" s="82" t="s">
        <v>1738</v>
      </c>
      <c r="D2588" s="51" t="s">
        <v>12</v>
      </c>
      <c r="E2588" s="77"/>
    </row>
    <row r="2589" spans="1:6" ht="39.6" hidden="1">
      <c r="A2589" s="37"/>
      <c r="B2589" s="51">
        <v>201410</v>
      </c>
      <c r="C2589" s="82" t="s">
        <v>1739</v>
      </c>
      <c r="D2589" s="51" t="s">
        <v>12</v>
      </c>
      <c r="E2589" s="77"/>
    </row>
    <row r="2590" spans="1:6" hidden="1">
      <c r="A2590" s="37"/>
      <c r="B2590" s="53"/>
      <c r="C2590" s="27"/>
      <c r="D2590" s="53"/>
      <c r="E2590" s="77"/>
    </row>
    <row r="2591" spans="1:6">
      <c r="A2591" s="91" t="s">
        <v>3841</v>
      </c>
      <c r="B2591" s="110" t="s">
        <v>3768</v>
      </c>
      <c r="C2591" s="111" t="s">
        <v>3052</v>
      </c>
      <c r="D2591" s="110" t="s">
        <v>2889</v>
      </c>
      <c r="E2591" s="84">
        <f>ROUND((E2592+E2593+E2594+E2595+E2596),2)</f>
        <v>24.52</v>
      </c>
      <c r="F2591" s="253"/>
    </row>
    <row r="2592" spans="1:6" ht="45.6">
      <c r="A2592" s="112"/>
      <c r="B2592" s="108"/>
      <c r="C2592" s="109" t="s">
        <v>3053</v>
      </c>
      <c r="D2592" s="108" t="s">
        <v>3040</v>
      </c>
      <c r="E2592" s="113">
        <f>8*0.4*2</f>
        <v>6.4</v>
      </c>
    </row>
    <row r="2593" spans="1:6" ht="45.6">
      <c r="A2593" s="112"/>
      <c r="B2593" s="108"/>
      <c r="C2593" s="109" t="s">
        <v>3165</v>
      </c>
      <c r="D2593" s="108" t="s">
        <v>3040</v>
      </c>
      <c r="E2593" s="113">
        <f>5.2*0.4*2</f>
        <v>4.16</v>
      </c>
    </row>
    <row r="2594" spans="1:6" ht="34.200000000000003">
      <c r="A2594" s="34"/>
      <c r="B2594" s="115"/>
      <c r="C2594" s="109" t="s">
        <v>3166</v>
      </c>
      <c r="D2594" s="108" t="s">
        <v>3040</v>
      </c>
      <c r="E2594" s="113">
        <f>0.4*6*2</f>
        <v>4.8000000000000007</v>
      </c>
    </row>
    <row r="2595" spans="1:6" ht="34.200000000000003">
      <c r="A2595" s="34"/>
      <c r="B2595" s="115"/>
      <c r="C2595" s="109" t="s">
        <v>3167</v>
      </c>
      <c r="D2595" s="108" t="s">
        <v>3040</v>
      </c>
      <c r="E2595" s="113">
        <f>(2.1+1.25+2.1)*0.4*2</f>
        <v>4.3600000000000003</v>
      </c>
    </row>
    <row r="2596" spans="1:6" ht="34.200000000000003">
      <c r="A2596" s="34"/>
      <c r="B2596" s="115"/>
      <c r="C2596" s="109" t="s">
        <v>3168</v>
      </c>
      <c r="D2596" s="108" t="s">
        <v>3040</v>
      </c>
      <c r="E2596" s="113">
        <f>6*0.4*2</f>
        <v>4.8000000000000007</v>
      </c>
    </row>
    <row r="2597" spans="1:6">
      <c r="A2597" s="37"/>
      <c r="B2597" s="53"/>
      <c r="C2597" s="27"/>
      <c r="D2597" s="53"/>
      <c r="E2597" s="77"/>
    </row>
    <row r="2598" spans="1:6">
      <c r="A2598" s="32">
        <v>12</v>
      </c>
      <c r="B2598" s="54">
        <v>210000</v>
      </c>
      <c r="C2598" s="29" t="s">
        <v>1740</v>
      </c>
      <c r="D2598" s="54"/>
      <c r="E2598" s="78"/>
    </row>
    <row r="2599" spans="1:6" hidden="1">
      <c r="A2599" s="34"/>
      <c r="B2599" s="56">
        <v>210101</v>
      </c>
      <c r="C2599" s="83" t="s">
        <v>1741</v>
      </c>
      <c r="D2599" s="56" t="s">
        <v>12</v>
      </c>
      <c r="E2599" s="86"/>
    </row>
    <row r="2600" spans="1:6" hidden="1">
      <c r="A2600" s="34"/>
      <c r="B2600" s="56">
        <v>210102</v>
      </c>
      <c r="C2600" s="83" t="s">
        <v>1742</v>
      </c>
      <c r="D2600" s="56" t="s">
        <v>12</v>
      </c>
      <c r="E2600" s="84"/>
    </row>
    <row r="2601" spans="1:6" hidden="1">
      <c r="A2601" s="34"/>
      <c r="B2601" s="56">
        <v>210201</v>
      </c>
      <c r="C2601" s="83" t="s">
        <v>1743</v>
      </c>
      <c r="D2601" s="56" t="s">
        <v>12</v>
      </c>
      <c r="E2601" s="84"/>
    </row>
    <row r="2602" spans="1:6" hidden="1">
      <c r="A2602" s="34"/>
      <c r="B2602" s="56">
        <v>210301</v>
      </c>
      <c r="C2602" s="83" t="s">
        <v>1744</v>
      </c>
      <c r="D2602" s="56" t="s">
        <v>12</v>
      </c>
      <c r="E2602" s="84"/>
    </row>
    <row r="2603" spans="1:6" hidden="1">
      <c r="A2603" s="34"/>
      <c r="B2603" s="56">
        <v>210401</v>
      </c>
      <c r="C2603" s="83" t="s">
        <v>1745</v>
      </c>
      <c r="D2603" s="56" t="s">
        <v>12</v>
      </c>
      <c r="E2603" s="84"/>
    </row>
    <row r="2604" spans="1:6" ht="26.4" hidden="1">
      <c r="A2604" s="34"/>
      <c r="B2604" s="56">
        <v>210460</v>
      </c>
      <c r="C2604" s="83" t="s">
        <v>1746</v>
      </c>
      <c r="D2604" s="56" t="s">
        <v>12</v>
      </c>
      <c r="E2604" s="84"/>
    </row>
    <row r="2605" spans="1:6" ht="26.4" hidden="1">
      <c r="A2605" s="34"/>
      <c r="B2605" s="56">
        <v>210461</v>
      </c>
      <c r="C2605" s="83" t="s">
        <v>1747</v>
      </c>
      <c r="D2605" s="56" t="s">
        <v>12</v>
      </c>
      <c r="E2605" s="84"/>
    </row>
    <row r="2606" spans="1:6" ht="26.4">
      <c r="A2606" s="91" t="s">
        <v>3648</v>
      </c>
      <c r="B2606" s="56">
        <v>210498</v>
      </c>
      <c r="C2606" s="83" t="s">
        <v>1748</v>
      </c>
      <c r="D2606" s="56" t="s">
        <v>12</v>
      </c>
      <c r="E2606" s="84">
        <f>ROUND(SUM(E2608:E2620),2)</f>
        <v>1472.35</v>
      </c>
      <c r="F2606" s="166"/>
    </row>
    <row r="2607" spans="1:6" s="47" customFormat="1" ht="12">
      <c r="A2607" s="112"/>
      <c r="B2607" s="99"/>
      <c r="C2607" s="100" t="s">
        <v>2704</v>
      </c>
      <c r="D2607" s="99"/>
      <c r="E2607" s="113"/>
      <c r="F2607" s="163"/>
    </row>
    <row r="2608" spans="1:6" s="47" customFormat="1" ht="12">
      <c r="A2608" s="93"/>
      <c r="B2608" s="99"/>
      <c r="C2608" s="102" t="s">
        <v>2691</v>
      </c>
      <c r="D2608" s="99" t="s">
        <v>12</v>
      </c>
      <c r="E2608" s="101">
        <v>38.799999999999997</v>
      </c>
      <c r="F2608" s="163"/>
    </row>
    <row r="2609" spans="1:6" s="47" customFormat="1" ht="12">
      <c r="A2609" s="93"/>
      <c r="B2609" s="99"/>
      <c r="C2609" s="102" t="s">
        <v>2509</v>
      </c>
      <c r="D2609" s="99" t="s">
        <v>12</v>
      </c>
      <c r="E2609" s="101">
        <v>38.799999999999997</v>
      </c>
      <c r="F2609" s="163"/>
    </row>
    <row r="2610" spans="1:6" s="47" customFormat="1" ht="12">
      <c r="A2610" s="93"/>
      <c r="B2610" s="99"/>
      <c r="C2610" s="102" t="s">
        <v>2690</v>
      </c>
      <c r="D2610" s="99" t="s">
        <v>12</v>
      </c>
      <c r="E2610" s="101">
        <v>38.799999999999997</v>
      </c>
      <c r="F2610" s="163"/>
    </row>
    <row r="2611" spans="1:6" s="47" customFormat="1" ht="12">
      <c r="A2611" s="93"/>
      <c r="B2611" s="99"/>
      <c r="C2611" s="102" t="s">
        <v>2692</v>
      </c>
      <c r="D2611" s="99" t="s">
        <v>12</v>
      </c>
      <c r="E2611" s="101">
        <v>38.799999999999997</v>
      </c>
      <c r="F2611" s="163"/>
    </row>
    <row r="2612" spans="1:6" s="47" customFormat="1" ht="22.8">
      <c r="A2612" s="93"/>
      <c r="B2612" s="99"/>
      <c r="C2612" s="102" t="s">
        <v>2693</v>
      </c>
      <c r="D2612" s="99" t="s">
        <v>12</v>
      </c>
      <c r="E2612" s="101">
        <f>54.35+232.74+8.79+8.68+10.54+8.68+8.79+8.79+54.35</f>
        <v>395.71000000000015</v>
      </c>
      <c r="F2612" s="163"/>
    </row>
    <row r="2613" spans="1:6" s="47" customFormat="1" ht="12">
      <c r="A2613" s="93"/>
      <c r="B2613" s="99"/>
      <c r="C2613" s="102" t="s">
        <v>2694</v>
      </c>
      <c r="D2613" s="99" t="s">
        <v>12</v>
      </c>
      <c r="E2613" s="101">
        <v>433.64</v>
      </c>
      <c r="F2613" s="163"/>
    </row>
    <row r="2614" spans="1:6" s="47" customFormat="1" ht="12">
      <c r="A2614" s="93"/>
      <c r="B2614" s="99"/>
      <c r="C2614" s="102" t="s">
        <v>2695</v>
      </c>
      <c r="D2614" s="99" t="s">
        <v>12</v>
      </c>
      <c r="E2614" s="101">
        <v>15</v>
      </c>
      <c r="F2614" s="163"/>
    </row>
    <row r="2615" spans="1:6" s="47" customFormat="1" ht="12">
      <c r="A2615" s="93"/>
      <c r="B2615" s="99"/>
      <c r="C2615" s="102" t="s">
        <v>2696</v>
      </c>
      <c r="D2615" s="99" t="s">
        <v>12</v>
      </c>
      <c r="E2615" s="101">
        <v>78.8</v>
      </c>
      <c r="F2615" s="163"/>
    </row>
    <row r="2616" spans="1:6" s="47" customFormat="1" ht="12">
      <c r="A2616" s="93"/>
      <c r="B2616" s="99"/>
      <c r="C2616" s="102" t="s">
        <v>2697</v>
      </c>
      <c r="D2616" s="99" t="s">
        <v>12</v>
      </c>
      <c r="E2616" s="101">
        <v>78.8</v>
      </c>
      <c r="F2616" s="163"/>
    </row>
    <row r="2617" spans="1:6" s="47" customFormat="1" ht="12">
      <c r="A2617" s="93"/>
      <c r="B2617" s="99"/>
      <c r="C2617" s="102" t="s">
        <v>2698</v>
      </c>
      <c r="D2617" s="99" t="s">
        <v>12</v>
      </c>
      <c r="E2617" s="101">
        <v>78.8</v>
      </c>
      <c r="F2617" s="163"/>
    </row>
    <row r="2618" spans="1:6" s="47" customFormat="1" ht="12">
      <c r="A2618" s="93"/>
      <c r="B2618" s="99"/>
      <c r="C2618" s="102" t="s">
        <v>2699</v>
      </c>
      <c r="D2618" s="99" t="s">
        <v>12</v>
      </c>
      <c r="E2618" s="101">
        <v>78.8</v>
      </c>
      <c r="F2618" s="163"/>
    </row>
    <row r="2619" spans="1:6" s="47" customFormat="1" ht="12">
      <c r="A2619" s="93"/>
      <c r="B2619" s="99"/>
      <c r="C2619" s="102" t="s">
        <v>2700</v>
      </c>
      <c r="D2619" s="99" t="s">
        <v>12</v>
      </c>
      <c r="E2619" s="101">
        <v>78.8</v>
      </c>
      <c r="F2619" s="163"/>
    </row>
    <row r="2620" spans="1:6" s="47" customFormat="1" ht="12">
      <c r="A2620" s="93"/>
      <c r="B2620" s="99"/>
      <c r="C2620" s="102" t="s">
        <v>2701</v>
      </c>
      <c r="D2620" s="99" t="s">
        <v>12</v>
      </c>
      <c r="E2620" s="101">
        <v>78.8</v>
      </c>
      <c r="F2620" s="163"/>
    </row>
    <row r="2621" spans="1:6">
      <c r="A2621" s="34"/>
      <c r="B2621" s="56"/>
      <c r="C2621" s="83"/>
      <c r="D2621" s="56"/>
      <c r="E2621" s="84"/>
    </row>
    <row r="2622" spans="1:6" ht="26.4">
      <c r="A2622" s="91" t="s">
        <v>3649</v>
      </c>
      <c r="B2622" s="56">
        <v>210499</v>
      </c>
      <c r="C2622" s="83" t="s">
        <v>1749</v>
      </c>
      <c r="D2622" s="56" t="s">
        <v>12</v>
      </c>
      <c r="E2622" s="84">
        <f>ROUND(SUM(E2624:E2626),2)</f>
        <v>100.42</v>
      </c>
      <c r="F2622" s="166"/>
    </row>
    <row r="2623" spans="1:6" s="47" customFormat="1" ht="12">
      <c r="A2623" s="112"/>
      <c r="B2623" s="99"/>
      <c r="C2623" s="100" t="s">
        <v>2704</v>
      </c>
      <c r="D2623" s="99"/>
      <c r="E2623" s="113"/>
      <c r="F2623" s="163"/>
    </row>
    <row r="2624" spans="1:6">
      <c r="A2624" s="112"/>
      <c r="B2624" s="99"/>
      <c r="C2624" s="104" t="s">
        <v>2702</v>
      </c>
      <c r="D2624" s="99" t="s">
        <v>12</v>
      </c>
      <c r="E2624" s="113">
        <v>47.66</v>
      </c>
    </row>
    <row r="2625" spans="1:6">
      <c r="A2625" s="112"/>
      <c r="B2625" s="99"/>
      <c r="C2625" s="104" t="s">
        <v>2703</v>
      </c>
      <c r="D2625" s="99" t="s">
        <v>12</v>
      </c>
      <c r="E2625" s="113">
        <v>47.66</v>
      </c>
    </row>
    <row r="2626" spans="1:6">
      <c r="A2626" s="112"/>
      <c r="B2626" s="99"/>
      <c r="C2626" s="104" t="s">
        <v>2524</v>
      </c>
      <c r="D2626" s="99" t="s">
        <v>12</v>
      </c>
      <c r="E2626" s="113">
        <v>5.0999999999999996</v>
      </c>
    </row>
    <row r="2627" spans="1:6">
      <c r="A2627" s="34"/>
      <c r="B2627" s="56"/>
      <c r="C2627" s="83"/>
      <c r="D2627" s="56"/>
      <c r="E2627" s="84"/>
    </row>
    <row r="2628" spans="1:6" hidden="1">
      <c r="A2628" s="34"/>
      <c r="B2628" s="56">
        <v>210501</v>
      </c>
      <c r="C2628" s="83" t="s">
        <v>1750</v>
      </c>
      <c r="D2628" s="56" t="s">
        <v>12</v>
      </c>
      <c r="E2628" s="84"/>
    </row>
    <row r="2629" spans="1:6" hidden="1">
      <c r="A2629" s="34"/>
      <c r="B2629" s="56">
        <v>210505</v>
      </c>
      <c r="C2629" s="83" t="s">
        <v>1751</v>
      </c>
      <c r="D2629" s="56" t="s">
        <v>39</v>
      </c>
      <c r="E2629" s="84"/>
    </row>
    <row r="2630" spans="1:6">
      <c r="A2630" s="91" t="s">
        <v>3650</v>
      </c>
      <c r="B2630" s="56">
        <v>210506</v>
      </c>
      <c r="C2630" s="83" t="s">
        <v>1752</v>
      </c>
      <c r="D2630" s="56" t="s">
        <v>39</v>
      </c>
      <c r="E2630" s="84">
        <f>ROUND(SUM(E2632:E2647),2)</f>
        <v>777.2</v>
      </c>
      <c r="F2630" s="166"/>
    </row>
    <row r="2631" spans="1:6" s="47" customFormat="1" ht="12">
      <c r="A2631" s="112"/>
      <c r="B2631" s="99"/>
      <c r="C2631" s="100" t="s">
        <v>2704</v>
      </c>
      <c r="D2631" s="99"/>
      <c r="E2631" s="113"/>
      <c r="F2631" s="163"/>
    </row>
    <row r="2632" spans="1:6" s="47" customFormat="1" ht="12">
      <c r="A2632" s="93"/>
      <c r="B2632" s="99"/>
      <c r="C2632" s="102" t="s">
        <v>2691</v>
      </c>
      <c r="D2632" s="99" t="s">
        <v>2114</v>
      </c>
      <c r="E2632" s="101">
        <v>25.7</v>
      </c>
      <c r="F2632" s="163"/>
    </row>
    <row r="2633" spans="1:6" s="47" customFormat="1" ht="12">
      <c r="A2633" s="93"/>
      <c r="B2633" s="99"/>
      <c r="C2633" s="102" t="s">
        <v>2509</v>
      </c>
      <c r="D2633" s="99" t="s">
        <v>2114</v>
      </c>
      <c r="E2633" s="101">
        <v>25.7</v>
      </c>
      <c r="F2633" s="163"/>
    </row>
    <row r="2634" spans="1:6" s="47" customFormat="1" ht="12">
      <c r="A2634" s="93"/>
      <c r="B2634" s="99"/>
      <c r="C2634" s="102" t="s">
        <v>2690</v>
      </c>
      <c r="D2634" s="99" t="s">
        <v>2114</v>
      </c>
      <c r="E2634" s="101">
        <v>25.7</v>
      </c>
      <c r="F2634" s="163"/>
    </row>
    <row r="2635" spans="1:6" s="47" customFormat="1" ht="12">
      <c r="A2635" s="93"/>
      <c r="B2635" s="99"/>
      <c r="C2635" s="102" t="s">
        <v>2692</v>
      </c>
      <c r="D2635" s="99" t="s">
        <v>2114</v>
      </c>
      <c r="E2635" s="101">
        <v>25.7</v>
      </c>
      <c r="F2635" s="163"/>
    </row>
    <row r="2636" spans="1:6" s="47" customFormat="1" ht="22.8">
      <c r="A2636" s="93"/>
      <c r="B2636" s="99"/>
      <c r="C2636" s="102" t="s">
        <v>2693</v>
      </c>
      <c r="D2636" s="99" t="s">
        <v>2114</v>
      </c>
      <c r="E2636" s="101">
        <v>116</v>
      </c>
      <c r="F2636" s="186"/>
    </row>
    <row r="2637" spans="1:6" s="47" customFormat="1" ht="22.8">
      <c r="A2637" s="93"/>
      <c r="B2637" s="99"/>
      <c r="C2637" s="102" t="s">
        <v>3220</v>
      </c>
      <c r="D2637" s="99" t="s">
        <v>2114</v>
      </c>
      <c r="E2637" s="101">
        <f xml:space="preserve"> 70.15 + 0.3 + 2.35 + 45.15 + 5.3 + 45.15 + 2.35 + 54.85 + 3.15 + 5.3 + 0.55 + 10 + 7.4</f>
        <v>252</v>
      </c>
      <c r="F2637" s="163"/>
    </row>
    <row r="2638" spans="1:6" s="47" customFormat="1" ht="12">
      <c r="A2638" s="93"/>
      <c r="B2638" s="99"/>
      <c r="C2638" s="102" t="s">
        <v>2695</v>
      </c>
      <c r="D2638" s="99" t="s">
        <v>2114</v>
      </c>
      <c r="E2638" s="101">
        <v>16</v>
      </c>
      <c r="F2638" s="163"/>
    </row>
    <row r="2639" spans="1:6" s="47" customFormat="1" ht="12">
      <c r="A2639" s="93"/>
      <c r="B2639" s="99"/>
      <c r="C2639" s="102" t="s">
        <v>2696</v>
      </c>
      <c r="D2639" s="99" t="s">
        <v>2114</v>
      </c>
      <c r="E2639" s="101">
        <v>35.700000000000003</v>
      </c>
      <c r="F2639" s="163"/>
    </row>
    <row r="2640" spans="1:6" s="47" customFormat="1" ht="12">
      <c r="A2640" s="93"/>
      <c r="B2640" s="99"/>
      <c r="C2640" s="102" t="s">
        <v>2697</v>
      </c>
      <c r="D2640" s="99" t="s">
        <v>2114</v>
      </c>
      <c r="E2640" s="101">
        <v>35.700000000000003</v>
      </c>
      <c r="F2640" s="163"/>
    </row>
    <row r="2641" spans="1:6" s="47" customFormat="1" ht="12">
      <c r="A2641" s="93"/>
      <c r="B2641" s="99"/>
      <c r="C2641" s="102" t="s">
        <v>2698</v>
      </c>
      <c r="D2641" s="99" t="s">
        <v>2114</v>
      </c>
      <c r="E2641" s="101">
        <v>35.700000000000003</v>
      </c>
      <c r="F2641" s="163"/>
    </row>
    <row r="2642" spans="1:6" s="47" customFormat="1" ht="12">
      <c r="A2642" s="93"/>
      <c r="B2642" s="99"/>
      <c r="C2642" s="102" t="s">
        <v>2699</v>
      </c>
      <c r="D2642" s="99" t="s">
        <v>2114</v>
      </c>
      <c r="E2642" s="101">
        <v>35.700000000000003</v>
      </c>
      <c r="F2642" s="163"/>
    </row>
    <row r="2643" spans="1:6" s="47" customFormat="1" ht="12">
      <c r="A2643" s="93"/>
      <c r="B2643" s="99"/>
      <c r="C2643" s="102" t="s">
        <v>2700</v>
      </c>
      <c r="D2643" s="99" t="s">
        <v>2114</v>
      </c>
      <c r="E2643" s="101">
        <v>35.700000000000003</v>
      </c>
      <c r="F2643" s="163"/>
    </row>
    <row r="2644" spans="1:6" s="47" customFormat="1" ht="12">
      <c r="A2644" s="93"/>
      <c r="B2644" s="99"/>
      <c r="C2644" s="102" t="s">
        <v>2701</v>
      </c>
      <c r="D2644" s="99" t="s">
        <v>2114</v>
      </c>
      <c r="E2644" s="101">
        <v>35.700000000000003</v>
      </c>
      <c r="F2644" s="163"/>
    </row>
    <row r="2645" spans="1:6">
      <c r="A2645" s="112"/>
      <c r="B2645" s="99"/>
      <c r="C2645" s="104" t="s">
        <v>2702</v>
      </c>
      <c r="D2645" s="99" t="s">
        <v>2114</v>
      </c>
      <c r="E2645" s="113">
        <v>33.549999999999997</v>
      </c>
    </row>
    <row r="2646" spans="1:6">
      <c r="A2646" s="112"/>
      <c r="B2646" s="99"/>
      <c r="C2646" s="104" t="s">
        <v>2703</v>
      </c>
      <c r="D2646" s="99" t="s">
        <v>2114</v>
      </c>
      <c r="E2646" s="113">
        <v>33.549999999999997</v>
      </c>
    </row>
    <row r="2647" spans="1:6">
      <c r="A2647" s="112"/>
      <c r="B2647" s="99"/>
      <c r="C2647" s="104" t="s">
        <v>2524</v>
      </c>
      <c r="D2647" s="99" t="s">
        <v>2114</v>
      </c>
      <c r="E2647" s="113">
        <v>9.1</v>
      </c>
    </row>
    <row r="2648" spans="1:6">
      <c r="A2648" s="37"/>
      <c r="B2648" s="51"/>
      <c r="C2648" s="82"/>
      <c r="D2648" s="51"/>
      <c r="E2648" s="77"/>
    </row>
    <row r="2649" spans="1:6" hidden="1">
      <c r="A2649" s="37"/>
      <c r="B2649" s="51">
        <v>210515</v>
      </c>
      <c r="C2649" s="82" t="s">
        <v>1753</v>
      </c>
      <c r="D2649" s="51" t="s">
        <v>12</v>
      </c>
      <c r="E2649" s="77"/>
    </row>
    <row r="2650" spans="1:6" hidden="1">
      <c r="A2650" s="37"/>
      <c r="B2650" s="51">
        <v>210702</v>
      </c>
      <c r="C2650" s="82" t="s">
        <v>1754</v>
      </c>
      <c r="D2650" s="51" t="s">
        <v>12</v>
      </c>
      <c r="E2650" s="77"/>
    </row>
    <row r="2651" spans="1:6">
      <c r="A2651" s="32">
        <v>13</v>
      </c>
      <c r="B2651" s="54">
        <v>220000</v>
      </c>
      <c r="C2651" s="29" t="s">
        <v>1755</v>
      </c>
      <c r="D2651" s="54"/>
      <c r="E2651" s="78"/>
    </row>
    <row r="2652" spans="1:6" ht="26.4" hidden="1">
      <c r="A2652" s="37"/>
      <c r="B2652" s="51">
        <v>220001</v>
      </c>
      <c r="C2652" s="82" t="s">
        <v>1756</v>
      </c>
      <c r="D2652" s="51" t="s">
        <v>39</v>
      </c>
      <c r="E2652" s="77"/>
    </row>
    <row r="2653" spans="1:6" ht="26.4" hidden="1">
      <c r="A2653" s="37"/>
      <c r="B2653" s="51">
        <v>220050</v>
      </c>
      <c r="C2653" s="82" t="s">
        <v>1757</v>
      </c>
      <c r="D2653" s="51" t="s">
        <v>12</v>
      </c>
      <c r="E2653" s="77"/>
    </row>
    <row r="2654" spans="1:6" ht="26.4" hidden="1">
      <c r="A2654" s="37"/>
      <c r="B2654" s="51">
        <v>220053</v>
      </c>
      <c r="C2654" s="82" t="s">
        <v>1758</v>
      </c>
      <c r="D2654" s="51" t="s">
        <v>12</v>
      </c>
      <c r="E2654" s="77"/>
    </row>
    <row r="2655" spans="1:6" hidden="1">
      <c r="A2655" s="37"/>
      <c r="B2655" s="51">
        <v>220058</v>
      </c>
      <c r="C2655" s="82" t="s">
        <v>1759</v>
      </c>
      <c r="D2655" s="51" t="s">
        <v>12</v>
      </c>
      <c r="E2655" s="77"/>
    </row>
    <row r="2656" spans="1:6" hidden="1">
      <c r="A2656" s="37"/>
      <c r="B2656" s="51">
        <v>220059</v>
      </c>
      <c r="C2656" s="82" t="s">
        <v>1760</v>
      </c>
      <c r="D2656" s="51" t="s">
        <v>12</v>
      </c>
      <c r="E2656" s="77"/>
    </row>
    <row r="2657" spans="1:6" hidden="1">
      <c r="A2657" s="34"/>
      <c r="B2657" s="51">
        <v>220060</v>
      </c>
      <c r="C2657" s="82" t="s">
        <v>1761</v>
      </c>
      <c r="D2657" s="51" t="s">
        <v>12</v>
      </c>
      <c r="E2657" s="77"/>
    </row>
    <row r="2658" spans="1:6" hidden="1">
      <c r="A2658" s="34"/>
      <c r="B2658" s="51">
        <v>220061</v>
      </c>
      <c r="C2658" s="82" t="s">
        <v>1762</v>
      </c>
      <c r="D2658" s="51" t="s">
        <v>12</v>
      </c>
      <c r="E2658" s="77"/>
    </row>
    <row r="2659" spans="1:6" ht="39.6" hidden="1">
      <c r="A2659" s="43"/>
      <c r="B2659" s="51">
        <v>220100</v>
      </c>
      <c r="C2659" s="82" t="s">
        <v>1763</v>
      </c>
      <c r="D2659" s="51" t="s">
        <v>12</v>
      </c>
      <c r="E2659" s="87"/>
    </row>
    <row r="2660" spans="1:6" ht="26.4">
      <c r="A2660" s="91" t="s">
        <v>3651</v>
      </c>
      <c r="B2660" s="56">
        <v>220101</v>
      </c>
      <c r="C2660" s="83" t="s">
        <v>1764</v>
      </c>
      <c r="D2660" s="56" t="s">
        <v>12</v>
      </c>
      <c r="E2660" s="84">
        <f>ROUND((E2661),2)</f>
        <v>18.899999999999999</v>
      </c>
    </row>
    <row r="2661" spans="1:6" ht="22.8">
      <c r="A2661" s="93"/>
      <c r="B2661" s="99"/>
      <c r="C2661" s="104" t="s">
        <v>3201</v>
      </c>
      <c r="D2661" s="99" t="s">
        <v>3040</v>
      </c>
      <c r="E2661" s="113">
        <f>3.5*5.4</f>
        <v>18.900000000000002</v>
      </c>
    </row>
    <row r="2662" spans="1:6">
      <c r="A2662" s="43"/>
      <c r="B2662" s="51"/>
      <c r="C2662" s="82"/>
      <c r="D2662" s="51"/>
      <c r="E2662" s="87"/>
    </row>
    <row r="2663" spans="1:6" hidden="1">
      <c r="A2663" s="43"/>
      <c r="B2663" s="51">
        <v>220102</v>
      </c>
      <c r="C2663" s="82" t="s">
        <v>1765</v>
      </c>
      <c r="D2663" s="51" t="s">
        <v>12</v>
      </c>
      <c r="E2663" s="87"/>
    </row>
    <row r="2664" spans="1:6" ht="26.4" hidden="1">
      <c r="A2664" s="43"/>
      <c r="B2664" s="51">
        <v>220103</v>
      </c>
      <c r="C2664" s="82" t="s">
        <v>1766</v>
      </c>
      <c r="D2664" s="51" t="s">
        <v>12</v>
      </c>
      <c r="E2664" s="87"/>
    </row>
    <row r="2665" spans="1:6">
      <c r="A2665" s="91" t="s">
        <v>3842</v>
      </c>
      <c r="B2665" s="56">
        <v>220104</v>
      </c>
      <c r="C2665" s="83" t="s">
        <v>1767</v>
      </c>
      <c r="D2665" s="56" t="s">
        <v>12</v>
      </c>
      <c r="E2665" s="84">
        <f>ROUND(SUM(E2667:E2674),2)</f>
        <v>44.88</v>
      </c>
      <c r="F2665" s="205"/>
    </row>
    <row r="2666" spans="1:6" s="47" customFormat="1" ht="12">
      <c r="A2666" s="157"/>
      <c r="B2666" s="158"/>
      <c r="C2666" s="123" t="s">
        <v>3462</v>
      </c>
      <c r="D2666" s="99"/>
      <c r="E2666" s="105"/>
      <c r="F2666" s="163"/>
    </row>
    <row r="2667" spans="1:6" s="47" customFormat="1" ht="22.8">
      <c r="A2667" s="157"/>
      <c r="B2667" s="158"/>
      <c r="C2667" s="121" t="s">
        <v>3465</v>
      </c>
      <c r="D2667" s="99" t="s">
        <v>12</v>
      </c>
      <c r="E2667" s="105">
        <f>(6.6+6.6+2+3.25+2.8)*0.1</f>
        <v>2.125</v>
      </c>
      <c r="F2667" s="163"/>
    </row>
    <row r="2668" spans="1:6" s="47" customFormat="1" ht="12">
      <c r="A2668" s="157"/>
      <c r="B2668" s="158"/>
      <c r="C2668" s="121" t="s">
        <v>3463</v>
      </c>
      <c r="D2668" s="99" t="s">
        <v>12</v>
      </c>
      <c r="E2668" s="105">
        <f>9*2.4</f>
        <v>21.599999999999998</v>
      </c>
      <c r="F2668" s="163"/>
    </row>
    <row r="2669" spans="1:6" s="47" customFormat="1" ht="45.6">
      <c r="A2669" s="157"/>
      <c r="B2669" s="158"/>
      <c r="C2669" s="121" t="s">
        <v>3466</v>
      </c>
      <c r="D2669" s="99" t="s">
        <v>12</v>
      </c>
      <c r="E2669" s="105">
        <f>(1.2 + 2.4 + 1.2 + 2.4 + 2.4 + 2.4 + 2.4 + 2.4 + 1.2 + 1.2 + 2.4 + 1.2 + 2.4 + 2.4 + 2.4 + 2.4 + 2.4 + 1.5 + 2.4 + 2.4 + 2.9 + 0.9 + 2.4 + 2.4)*0.1</f>
        <v>4.9699999999999989</v>
      </c>
      <c r="F2669" s="163"/>
    </row>
    <row r="2670" spans="1:6" s="47" customFormat="1" ht="34.200000000000003">
      <c r="A2670" s="157"/>
      <c r="B2670" s="158"/>
      <c r="C2670" s="121" t="s">
        <v>3464</v>
      </c>
      <c r="D2670" s="99" t="s">
        <v>12</v>
      </c>
      <c r="E2670" s="105">
        <f>(2.4 + 2.4 + 2.4 + 2.4 + 2.4 + 3 + 2.4 + 2.4 + 2.4 + 2.5 + 2.5 + 2.4 + 0.8 + 2.4 + 0.8 + 2.4 + 2.4)*0.1</f>
        <v>3.8399999999999994</v>
      </c>
      <c r="F2670" s="163"/>
    </row>
    <row r="2671" spans="1:6" s="47" customFormat="1" ht="22.8">
      <c r="A2671" s="157"/>
      <c r="B2671" s="158"/>
      <c r="C2671" s="121" t="s">
        <v>3467</v>
      </c>
      <c r="D2671" s="99" t="s">
        <v>12</v>
      </c>
      <c r="E2671" s="105">
        <f>((1.3*2.4)+(2.4*2.15))</f>
        <v>8.2799999999999994</v>
      </c>
      <c r="F2671" s="163"/>
    </row>
    <row r="2672" spans="1:6" s="47" customFormat="1" ht="22.8">
      <c r="A2672" s="157"/>
      <c r="B2672" s="158"/>
      <c r="C2672" s="121" t="s">
        <v>3468</v>
      </c>
      <c r="D2672" s="99" t="s">
        <v>12</v>
      </c>
      <c r="E2672" s="105">
        <f>( 2.4 + 1.4  + 2.4 + 2.4 + 2.4 + 2.4 + 2.4)*0.1</f>
        <v>1.58</v>
      </c>
      <c r="F2672" s="163"/>
    </row>
    <row r="2673" spans="1:6" s="47" customFormat="1" ht="12">
      <c r="A2673" s="157"/>
      <c r="B2673" s="158"/>
      <c r="C2673" s="121" t="s">
        <v>3469</v>
      </c>
      <c r="D2673" s="99" t="s">
        <v>12</v>
      </c>
      <c r="E2673" s="105">
        <f>0.5*0.4</f>
        <v>0.2</v>
      </c>
      <c r="F2673" s="163"/>
    </row>
    <row r="2674" spans="1:6" s="47" customFormat="1" ht="34.200000000000003">
      <c r="A2674" s="157"/>
      <c r="B2674" s="158"/>
      <c r="C2674" s="121" t="s">
        <v>3470</v>
      </c>
      <c r="D2674" s="99" t="s">
        <v>12</v>
      </c>
      <c r="E2674" s="105">
        <f>(2.4 + 1.2 + 2.4 + 1.8 + 3 + 2.4 + 2.4 + 2.4 + 2.4 + 2.4)*0.1</f>
        <v>2.2799999999999998</v>
      </c>
      <c r="F2674" s="163"/>
    </row>
    <row r="2675" spans="1:6">
      <c r="A2675" s="43"/>
      <c r="B2675" s="51"/>
      <c r="C2675" s="82"/>
      <c r="D2675" s="51"/>
      <c r="E2675" s="87"/>
    </row>
    <row r="2676" spans="1:6" ht="26.4" hidden="1">
      <c r="A2676" s="43"/>
      <c r="B2676" s="51">
        <v>220105</v>
      </c>
      <c r="C2676" s="82" t="s">
        <v>1768</v>
      </c>
      <c r="D2676" s="51" t="s">
        <v>12</v>
      </c>
      <c r="E2676" s="87"/>
    </row>
    <row r="2677" spans="1:6" hidden="1">
      <c r="A2677" s="43"/>
      <c r="B2677" s="51">
        <v>220107</v>
      </c>
      <c r="C2677" s="82" t="s">
        <v>1769</v>
      </c>
      <c r="D2677" s="51" t="s">
        <v>30</v>
      </c>
      <c r="E2677" s="87"/>
    </row>
    <row r="2678" spans="1:6" hidden="1">
      <c r="A2678" s="25"/>
      <c r="B2678" s="51">
        <v>220108</v>
      </c>
      <c r="C2678" s="82" t="s">
        <v>1770</v>
      </c>
      <c r="D2678" s="51" t="s">
        <v>12</v>
      </c>
      <c r="E2678" s="87"/>
    </row>
    <row r="2679" spans="1:6" hidden="1">
      <c r="A2679" s="25"/>
      <c r="B2679" s="51">
        <v>220109</v>
      </c>
      <c r="C2679" s="82" t="s">
        <v>1771</v>
      </c>
      <c r="D2679" s="51" t="s">
        <v>12</v>
      </c>
      <c r="E2679" s="87"/>
    </row>
    <row r="2680" spans="1:6" hidden="1">
      <c r="A2680" s="25"/>
      <c r="B2680" s="51">
        <v>220111</v>
      </c>
      <c r="C2680" s="82" t="s">
        <v>1772</v>
      </c>
      <c r="D2680" s="51" t="s">
        <v>136</v>
      </c>
      <c r="E2680" s="87"/>
    </row>
    <row r="2681" spans="1:6" hidden="1">
      <c r="A2681" s="25"/>
      <c r="B2681" s="51">
        <v>220112</v>
      </c>
      <c r="C2681" s="82" t="s">
        <v>1773</v>
      </c>
      <c r="D2681" s="51" t="s">
        <v>12</v>
      </c>
      <c r="E2681" s="87"/>
    </row>
    <row r="2682" spans="1:6" ht="26.4" hidden="1">
      <c r="A2682" s="25"/>
      <c r="B2682" s="51">
        <v>220113</v>
      </c>
      <c r="C2682" s="82" t="s">
        <v>1774</v>
      </c>
      <c r="D2682" s="51" t="s">
        <v>12</v>
      </c>
      <c r="E2682" s="87"/>
    </row>
    <row r="2683" spans="1:6" ht="26.4" hidden="1">
      <c r="A2683" s="25"/>
      <c r="B2683" s="51">
        <v>220114</v>
      </c>
      <c r="C2683" s="82" t="s">
        <v>1775</v>
      </c>
      <c r="D2683" s="51" t="s">
        <v>12</v>
      </c>
      <c r="E2683" s="87"/>
    </row>
    <row r="2684" spans="1:6" ht="26.4">
      <c r="A2684" s="91" t="s">
        <v>3843</v>
      </c>
      <c r="B2684" s="56">
        <v>220201</v>
      </c>
      <c r="C2684" s="83" t="s">
        <v>1776</v>
      </c>
      <c r="D2684" s="56" t="s">
        <v>12</v>
      </c>
      <c r="E2684" s="84">
        <f>ROUND((E2685+E2686),2)</f>
        <v>5.27</v>
      </c>
    </row>
    <row r="2685" spans="1:6" ht="22.8">
      <c r="A2685" s="43"/>
      <c r="B2685" s="56"/>
      <c r="C2685" s="104" t="s">
        <v>3073</v>
      </c>
      <c r="D2685" s="99" t="s">
        <v>3040</v>
      </c>
      <c r="E2685" s="113">
        <f>(3.65+4.7+1.2)*0.3</f>
        <v>2.8649999999999998</v>
      </c>
    </row>
    <row r="2686" spans="1:6" ht="22.8">
      <c r="A2686" s="43"/>
      <c r="B2686" s="56"/>
      <c r="C2686" s="104" t="s">
        <v>3139</v>
      </c>
      <c r="D2686" s="99" t="s">
        <v>3040</v>
      </c>
      <c r="E2686" s="113">
        <f>8*0.3</f>
        <v>2.4</v>
      </c>
    </row>
    <row r="2687" spans="1:6">
      <c r="A2687" s="25"/>
      <c r="B2687" s="51"/>
      <c r="C2687" s="82"/>
      <c r="D2687" s="51"/>
      <c r="E2687" s="87"/>
    </row>
    <row r="2688" spans="1:6" ht="26.4" hidden="1">
      <c r="A2688" s="25"/>
      <c r="B2688" s="51">
        <v>220202</v>
      </c>
      <c r="C2688" s="82" t="s">
        <v>1777</v>
      </c>
      <c r="D2688" s="51" t="s">
        <v>12</v>
      </c>
      <c r="E2688" s="87"/>
    </row>
    <row r="2689" spans="1:5" hidden="1">
      <c r="A2689" s="25"/>
      <c r="B2689" s="51">
        <v>220301</v>
      </c>
      <c r="C2689" s="82" t="s">
        <v>1778</v>
      </c>
      <c r="D2689" s="51" t="s">
        <v>12</v>
      </c>
      <c r="E2689" s="87"/>
    </row>
    <row r="2690" spans="1:5" hidden="1">
      <c r="A2690" s="25"/>
      <c r="B2690" s="51">
        <v>220302</v>
      </c>
      <c r="C2690" s="82" t="s">
        <v>1779</v>
      </c>
      <c r="D2690" s="51" t="s">
        <v>12</v>
      </c>
      <c r="E2690" s="87"/>
    </row>
    <row r="2691" spans="1:5" ht="26.4" hidden="1">
      <c r="A2691" s="25"/>
      <c r="B2691" s="51">
        <v>220309</v>
      </c>
      <c r="C2691" s="82" t="s">
        <v>1780</v>
      </c>
      <c r="D2691" s="51" t="s">
        <v>12</v>
      </c>
      <c r="E2691" s="87"/>
    </row>
    <row r="2692" spans="1:5" hidden="1">
      <c r="A2692" s="25"/>
      <c r="B2692" s="51">
        <v>220310</v>
      </c>
      <c r="C2692" s="82" t="s">
        <v>1781</v>
      </c>
      <c r="D2692" s="51" t="s">
        <v>39</v>
      </c>
      <c r="E2692" s="87"/>
    </row>
    <row r="2693" spans="1:5" ht="26.4" hidden="1">
      <c r="A2693" s="25"/>
      <c r="B2693" s="51">
        <v>220311</v>
      </c>
      <c r="C2693" s="82" t="s">
        <v>1782</v>
      </c>
      <c r="D2693" s="51" t="s">
        <v>12</v>
      </c>
      <c r="E2693" s="87"/>
    </row>
    <row r="2694" spans="1:5" ht="26.4" hidden="1">
      <c r="A2694" s="25"/>
      <c r="B2694" s="51">
        <v>220312</v>
      </c>
      <c r="C2694" s="82" t="s">
        <v>1783</v>
      </c>
      <c r="D2694" s="51" t="s">
        <v>39</v>
      </c>
      <c r="E2694" s="87"/>
    </row>
    <row r="2695" spans="1:5" hidden="1">
      <c r="A2695" s="25"/>
      <c r="B2695" s="51">
        <v>220401</v>
      </c>
      <c r="C2695" s="82" t="s">
        <v>1784</v>
      </c>
      <c r="D2695" s="51" t="s">
        <v>12</v>
      </c>
      <c r="E2695" s="87"/>
    </row>
    <row r="2696" spans="1:5" hidden="1">
      <c r="A2696" s="25"/>
      <c r="B2696" s="51">
        <v>220402</v>
      </c>
      <c r="C2696" s="82" t="s">
        <v>1785</v>
      </c>
      <c r="D2696" s="51" t="s">
        <v>39</v>
      </c>
      <c r="E2696" s="87"/>
    </row>
    <row r="2697" spans="1:5" ht="26.4" hidden="1">
      <c r="A2697" s="25"/>
      <c r="B2697" s="51">
        <v>220403</v>
      </c>
      <c r="C2697" s="82" t="s">
        <v>1786</v>
      </c>
      <c r="D2697" s="51" t="s">
        <v>12</v>
      </c>
      <c r="E2697" s="87"/>
    </row>
    <row r="2698" spans="1:5" hidden="1">
      <c r="A2698" s="25"/>
      <c r="B2698" s="51">
        <v>220802</v>
      </c>
      <c r="C2698" s="82" t="s">
        <v>1787</v>
      </c>
      <c r="D2698" s="51" t="s">
        <v>39</v>
      </c>
      <c r="E2698" s="87"/>
    </row>
    <row r="2699" spans="1:5" hidden="1">
      <c r="A2699" s="25"/>
      <c r="B2699" s="51">
        <v>220901</v>
      </c>
      <c r="C2699" s="82" t="s">
        <v>1788</v>
      </c>
      <c r="D2699" s="51" t="s">
        <v>12</v>
      </c>
      <c r="E2699" s="87"/>
    </row>
    <row r="2700" spans="1:5" hidden="1">
      <c r="A2700" s="25"/>
      <c r="B2700" s="51">
        <v>220902</v>
      </c>
      <c r="C2700" s="82" t="s">
        <v>1789</v>
      </c>
      <c r="D2700" s="51" t="s">
        <v>39</v>
      </c>
      <c r="E2700" s="87"/>
    </row>
    <row r="2701" spans="1:5" ht="26.4" hidden="1">
      <c r="A2701" s="25"/>
      <c r="B2701" s="51">
        <v>220903</v>
      </c>
      <c r="C2701" s="82" t="s">
        <v>1790</v>
      </c>
      <c r="D2701" s="51" t="s">
        <v>12</v>
      </c>
      <c r="E2701" s="87"/>
    </row>
    <row r="2702" spans="1:5" hidden="1">
      <c r="A2702" s="25"/>
      <c r="B2702" s="51">
        <v>220904</v>
      </c>
      <c r="C2702" s="82" t="s">
        <v>1791</v>
      </c>
      <c r="D2702" s="51" t="s">
        <v>39</v>
      </c>
      <c r="E2702" s="87"/>
    </row>
    <row r="2703" spans="1:5" hidden="1">
      <c r="A2703" s="25"/>
      <c r="B2703" s="51">
        <v>220906</v>
      </c>
      <c r="C2703" s="82" t="s">
        <v>1792</v>
      </c>
      <c r="D2703" s="51" t="s">
        <v>12</v>
      </c>
      <c r="E2703" s="87"/>
    </row>
    <row r="2704" spans="1:5" hidden="1">
      <c r="A2704" s="25"/>
      <c r="B2704" s="51">
        <v>220907</v>
      </c>
      <c r="C2704" s="82" t="s">
        <v>1793</v>
      </c>
      <c r="D2704" s="51" t="s">
        <v>12</v>
      </c>
      <c r="E2704" s="87"/>
    </row>
    <row r="2705" spans="1:6" ht="26.4" hidden="1">
      <c r="A2705" s="25"/>
      <c r="B2705" s="51">
        <v>220910</v>
      </c>
      <c r="C2705" s="82" t="s">
        <v>1794</v>
      </c>
      <c r="D2705" s="51" t="s">
        <v>12</v>
      </c>
      <c r="E2705" s="87"/>
    </row>
    <row r="2706" spans="1:6" hidden="1">
      <c r="A2706" s="25"/>
      <c r="B2706" s="51">
        <v>220911</v>
      </c>
      <c r="C2706" s="82" t="s">
        <v>1795</v>
      </c>
      <c r="D2706" s="51" t="s">
        <v>12</v>
      </c>
      <c r="E2706" s="87"/>
    </row>
    <row r="2707" spans="1:6" hidden="1">
      <c r="A2707" s="25"/>
      <c r="B2707" s="51">
        <v>220912</v>
      </c>
      <c r="C2707" s="82" t="s">
        <v>1796</v>
      </c>
      <c r="D2707" s="51" t="s">
        <v>12</v>
      </c>
      <c r="E2707" s="87"/>
    </row>
    <row r="2708" spans="1:6" ht="26.4" hidden="1">
      <c r="A2708" s="25"/>
      <c r="B2708" s="51">
        <v>220913</v>
      </c>
      <c r="C2708" s="82" t="s">
        <v>1797</v>
      </c>
      <c r="D2708" s="51" t="s">
        <v>12</v>
      </c>
      <c r="E2708" s="87"/>
    </row>
    <row r="2709" spans="1:6" hidden="1">
      <c r="A2709" s="25"/>
      <c r="B2709" s="51">
        <v>220917</v>
      </c>
      <c r="C2709" s="82" t="s">
        <v>1798</v>
      </c>
      <c r="D2709" s="51" t="s">
        <v>39</v>
      </c>
      <c r="E2709" s="87"/>
    </row>
    <row r="2710" spans="1:6" ht="26.4">
      <c r="A2710" s="91" t="s">
        <v>3844</v>
      </c>
      <c r="B2710" s="56">
        <v>220920</v>
      </c>
      <c r="C2710" s="83" t="s">
        <v>1799</v>
      </c>
      <c r="D2710" s="56" t="s">
        <v>12</v>
      </c>
      <c r="E2710" s="84">
        <f>ROUND((E2711+E2712+E2713+E2714+E2715),2)</f>
        <v>3.4</v>
      </c>
    </row>
    <row r="2711" spans="1:6" ht="34.200000000000003">
      <c r="A2711" s="43"/>
      <c r="B2711" s="56"/>
      <c r="C2711" s="104" t="s">
        <v>3058</v>
      </c>
      <c r="D2711" s="99" t="s">
        <v>12</v>
      </c>
      <c r="E2711" s="101">
        <f>0.15*1*2</f>
        <v>0.3</v>
      </c>
    </row>
    <row r="2712" spans="1:6" ht="22.8">
      <c r="A2712" s="43"/>
      <c r="B2712" s="56"/>
      <c r="C2712" s="104" t="s">
        <v>3071</v>
      </c>
      <c r="D2712" s="99" t="s">
        <v>12</v>
      </c>
      <c r="E2712" s="101">
        <f>0.5*2</f>
        <v>1</v>
      </c>
    </row>
    <row r="2713" spans="1:6" ht="34.200000000000003">
      <c r="A2713" s="43"/>
      <c r="B2713" s="56"/>
      <c r="C2713" s="104" t="s">
        <v>3084</v>
      </c>
      <c r="D2713" s="99" t="s">
        <v>12</v>
      </c>
      <c r="E2713" s="101">
        <f>1*0.15</f>
        <v>0.15</v>
      </c>
    </row>
    <row r="2714" spans="1:6" ht="34.200000000000003">
      <c r="A2714" s="43"/>
      <c r="B2714" s="56"/>
      <c r="C2714" s="104" t="s">
        <v>3085</v>
      </c>
      <c r="D2714" s="99" t="s">
        <v>12</v>
      </c>
      <c r="E2714" s="113">
        <v>0.15</v>
      </c>
    </row>
    <row r="2715" spans="1:6" ht="22.8">
      <c r="A2715" s="43"/>
      <c r="B2715" s="56"/>
      <c r="C2715" s="104" t="s">
        <v>3133</v>
      </c>
      <c r="D2715" s="99" t="s">
        <v>12</v>
      </c>
      <c r="E2715" s="113">
        <f>3*4*0.15</f>
        <v>1.7999999999999998</v>
      </c>
    </row>
    <row r="2716" spans="1:6">
      <c r="A2716" s="25"/>
      <c r="B2716" s="51"/>
      <c r="C2716" s="82"/>
      <c r="D2716" s="51"/>
      <c r="E2716" s="87"/>
    </row>
    <row r="2717" spans="1:6" ht="26.4" hidden="1">
      <c r="A2717" s="43"/>
      <c r="B2717" s="56">
        <v>221000</v>
      </c>
      <c r="C2717" s="83" t="s">
        <v>1800</v>
      </c>
      <c r="D2717" s="56" t="s">
        <v>12</v>
      </c>
      <c r="E2717" s="84"/>
    </row>
    <row r="2718" spans="1:6" ht="26.4" hidden="1">
      <c r="A2718" s="91"/>
      <c r="B2718" s="56">
        <v>221001</v>
      </c>
      <c r="C2718" s="83" t="s">
        <v>1801</v>
      </c>
      <c r="D2718" s="56" t="s">
        <v>12</v>
      </c>
      <c r="E2718" s="84"/>
    </row>
    <row r="2719" spans="1:6" hidden="1">
      <c r="A2719" s="93"/>
      <c r="B2719" s="99"/>
      <c r="C2719" s="100"/>
      <c r="D2719" s="99"/>
      <c r="E2719" s="113"/>
    </row>
    <row r="2720" spans="1:6" s="47" customFormat="1" ht="12" hidden="1">
      <c r="A2720" s="93"/>
      <c r="B2720" s="99"/>
      <c r="C2720" s="102"/>
      <c r="D2720" s="99"/>
      <c r="E2720" s="101"/>
      <c r="F2720" s="163"/>
    </row>
    <row r="2721" spans="1:5" hidden="1">
      <c r="A2721" s="43"/>
      <c r="B2721" s="56"/>
      <c r="C2721" s="83"/>
      <c r="D2721" s="56"/>
      <c r="E2721" s="84"/>
    </row>
    <row r="2722" spans="1:5" ht="26.4" hidden="1">
      <c r="A2722" s="43"/>
      <c r="B2722" s="56">
        <v>221003</v>
      </c>
      <c r="C2722" s="83" t="s">
        <v>1802</v>
      </c>
      <c r="D2722" s="56" t="s">
        <v>12</v>
      </c>
      <c r="E2722" s="84"/>
    </row>
    <row r="2723" spans="1:5">
      <c r="A2723" s="91" t="s">
        <v>3846</v>
      </c>
      <c r="B2723" s="56">
        <v>221004</v>
      </c>
      <c r="C2723" s="83" t="s">
        <v>1803</v>
      </c>
      <c r="D2723" s="56" t="s">
        <v>39</v>
      </c>
      <c r="E2723" s="84">
        <f>ROUND((E2724+E2725+E2726),2)</f>
        <v>134.35</v>
      </c>
    </row>
    <row r="2724" spans="1:5" ht="70.95" customHeight="1">
      <c r="A2724" s="93"/>
      <c r="B2724" s="99"/>
      <c r="C2724" s="104" t="s">
        <v>3120</v>
      </c>
      <c r="D2724" s="99" t="s">
        <v>39</v>
      </c>
      <c r="E2724" s="113">
        <f xml:space="preserve"> 8 + 9.85 + 2.95 + 0.15 + 2.95 + 9.85 + 2.95 + 0.15 + 0.15 +  2.95 + 19.85 + 2.95 + 0.15 + 2.95 + 9.85 + 8 + 9.85 + 0.2 + 0.15 + 0.2 + 5.85 + 0.2 + 0.15 + 5.85 + 0.2 + 0.15 + 5.85 + 0.2 + 0.15 + 9.85</f>
        <v>122.55000000000001</v>
      </c>
    </row>
    <row r="2725" spans="1:5">
      <c r="A2725" s="93"/>
      <c r="B2725" s="99"/>
      <c r="C2725" s="104" t="s">
        <v>3131</v>
      </c>
      <c r="D2725" s="99" t="s">
        <v>39</v>
      </c>
      <c r="E2725" s="113">
        <f>2.95*2</f>
        <v>5.9</v>
      </c>
    </row>
    <row r="2726" spans="1:5">
      <c r="A2726" s="93"/>
      <c r="B2726" s="99"/>
      <c r="C2726" s="104" t="s">
        <v>3132</v>
      </c>
      <c r="D2726" s="99" t="s">
        <v>39</v>
      </c>
      <c r="E2726" s="113">
        <f>2.95*2</f>
        <v>5.9</v>
      </c>
    </row>
    <row r="2727" spans="1:5">
      <c r="A2727" s="43"/>
      <c r="B2727" s="56"/>
      <c r="C2727" s="83"/>
      <c r="D2727" s="56"/>
      <c r="E2727" s="84"/>
    </row>
    <row r="2728" spans="1:5" hidden="1">
      <c r="A2728" s="43"/>
      <c r="B2728" s="56">
        <v>221005</v>
      </c>
      <c r="C2728" s="83" t="s">
        <v>1804</v>
      </c>
      <c r="D2728" s="56" t="s">
        <v>39</v>
      </c>
      <c r="E2728" s="84"/>
    </row>
    <row r="2729" spans="1:5" ht="26.4">
      <c r="A2729" s="91" t="s">
        <v>3847</v>
      </c>
      <c r="B2729" s="56">
        <v>221101</v>
      </c>
      <c r="C2729" s="83" t="s">
        <v>1805</v>
      </c>
      <c r="D2729" s="56" t="s">
        <v>12</v>
      </c>
      <c r="E2729" s="84">
        <f>ROUND((E2730),2)</f>
        <v>18.899999999999999</v>
      </c>
    </row>
    <row r="2730" spans="1:5" ht="22.8">
      <c r="A2730" s="93"/>
      <c r="B2730" s="99"/>
      <c r="C2730" s="104" t="s">
        <v>3201</v>
      </c>
      <c r="D2730" s="99" t="s">
        <v>3040</v>
      </c>
      <c r="E2730" s="113">
        <f>3.5*5.4</f>
        <v>18.900000000000002</v>
      </c>
    </row>
    <row r="2731" spans="1:5">
      <c r="A2731" s="43"/>
      <c r="B2731" s="56"/>
      <c r="C2731" s="83"/>
      <c r="D2731" s="56"/>
      <c r="E2731" s="84"/>
    </row>
    <row r="2732" spans="1:5">
      <c r="A2732" s="91" t="s">
        <v>3848</v>
      </c>
      <c r="B2732" s="56">
        <v>221102</v>
      </c>
      <c r="C2732" s="83" t="s">
        <v>1806</v>
      </c>
      <c r="D2732" s="56" t="s">
        <v>39</v>
      </c>
      <c r="E2732" s="84">
        <f>ROUND((E2733),2)</f>
        <v>16</v>
      </c>
    </row>
    <row r="2733" spans="1:5" ht="22.8">
      <c r="A2733" s="43"/>
      <c r="B2733" s="56"/>
      <c r="C2733" s="104" t="s">
        <v>3082</v>
      </c>
      <c r="D2733" s="99" t="s">
        <v>2114</v>
      </c>
      <c r="E2733" s="101">
        <v>16</v>
      </c>
    </row>
    <row r="2734" spans="1:5">
      <c r="A2734" s="43"/>
      <c r="B2734" s="56"/>
      <c r="C2734" s="83"/>
      <c r="D2734" s="56"/>
      <c r="E2734" s="84"/>
    </row>
    <row r="2735" spans="1:5" hidden="1">
      <c r="A2735" s="43"/>
      <c r="B2735" s="56"/>
      <c r="C2735" s="83"/>
      <c r="D2735" s="56"/>
      <c r="E2735" s="84"/>
    </row>
    <row r="2736" spans="1:5" hidden="1">
      <c r="A2736" s="43"/>
      <c r="B2736" s="56"/>
      <c r="C2736" s="83"/>
      <c r="D2736" s="56"/>
      <c r="E2736" s="84"/>
    </row>
    <row r="2737" spans="1:6" hidden="1">
      <c r="A2737" s="43"/>
      <c r="B2737" s="56"/>
      <c r="C2737" s="83"/>
      <c r="D2737" s="56"/>
      <c r="E2737" s="84"/>
    </row>
    <row r="2738" spans="1:6">
      <c r="A2738" s="91" t="s">
        <v>3845</v>
      </c>
      <c r="B2738" s="97">
        <v>221104</v>
      </c>
      <c r="C2738" s="103" t="s">
        <v>1807</v>
      </c>
      <c r="D2738" s="97" t="s">
        <v>12</v>
      </c>
      <c r="E2738" s="84">
        <f>ROUND(SUM(E2740:E2755),2)</f>
        <v>1194.52</v>
      </c>
      <c r="F2738" s="166"/>
    </row>
    <row r="2739" spans="1:6" s="47" customFormat="1" ht="12">
      <c r="A2739" s="112"/>
      <c r="B2739" s="99"/>
      <c r="C2739" s="100" t="s">
        <v>2704</v>
      </c>
      <c r="D2739" s="99"/>
      <c r="E2739" s="113"/>
      <c r="F2739" s="163"/>
    </row>
    <row r="2740" spans="1:6" s="47" customFormat="1" ht="12">
      <c r="A2740" s="93"/>
      <c r="B2740" s="99"/>
      <c r="C2740" s="102" t="s">
        <v>2691</v>
      </c>
      <c r="D2740" s="99" t="s">
        <v>12</v>
      </c>
      <c r="E2740" s="101">
        <v>38.799999999999997</v>
      </c>
      <c r="F2740" s="163"/>
    </row>
    <row r="2741" spans="1:6" s="47" customFormat="1" ht="12">
      <c r="A2741" s="93"/>
      <c r="B2741" s="99"/>
      <c r="C2741" s="102" t="s">
        <v>2509</v>
      </c>
      <c r="D2741" s="99" t="s">
        <v>12</v>
      </c>
      <c r="E2741" s="101">
        <v>38.799999999999997</v>
      </c>
      <c r="F2741" s="163"/>
    </row>
    <row r="2742" spans="1:6" s="47" customFormat="1" ht="12">
      <c r="A2742" s="93"/>
      <c r="B2742" s="99"/>
      <c r="C2742" s="102" t="s">
        <v>2690</v>
      </c>
      <c r="D2742" s="99" t="s">
        <v>12</v>
      </c>
      <c r="E2742" s="101">
        <v>38.799999999999997</v>
      </c>
      <c r="F2742" s="163"/>
    </row>
    <row r="2743" spans="1:6" s="47" customFormat="1" ht="12">
      <c r="A2743" s="93"/>
      <c r="B2743" s="99"/>
      <c r="C2743" s="102" t="s">
        <v>2692</v>
      </c>
      <c r="D2743" s="99" t="s">
        <v>12</v>
      </c>
      <c r="E2743" s="101">
        <v>38.799999999999997</v>
      </c>
      <c r="F2743" s="163"/>
    </row>
    <row r="2744" spans="1:6" s="47" customFormat="1" ht="12">
      <c r="A2744" s="174"/>
      <c r="B2744" s="174"/>
      <c r="C2744" s="174"/>
      <c r="D2744" s="206"/>
      <c r="E2744" s="174"/>
      <c r="F2744" s="163"/>
    </row>
    <row r="2745" spans="1:6" s="47" customFormat="1" ht="12">
      <c r="A2745" s="98"/>
      <c r="B2745" s="99"/>
      <c r="C2745" s="104" t="s">
        <v>2694</v>
      </c>
      <c r="D2745" s="99" t="s">
        <v>12</v>
      </c>
      <c r="E2745" s="101">
        <v>451.1</v>
      </c>
      <c r="F2745" s="163"/>
    </row>
    <row r="2746" spans="1:6" s="47" customFormat="1" ht="12">
      <c r="A2746" s="98"/>
      <c r="B2746" s="99"/>
      <c r="C2746" s="104" t="s">
        <v>2695</v>
      </c>
      <c r="D2746" s="99" t="s">
        <v>12</v>
      </c>
      <c r="E2746" s="101">
        <v>15</v>
      </c>
      <c r="F2746" s="163"/>
    </row>
    <row r="2747" spans="1:6" s="47" customFormat="1" ht="12">
      <c r="A2747" s="98"/>
      <c r="B2747" s="99"/>
      <c r="C2747" s="104" t="s">
        <v>2696</v>
      </c>
      <c r="D2747" s="99" t="s">
        <v>12</v>
      </c>
      <c r="E2747" s="101">
        <v>78.8</v>
      </c>
      <c r="F2747" s="163"/>
    </row>
    <row r="2748" spans="1:6" s="47" customFormat="1" ht="12">
      <c r="A2748" s="93"/>
      <c r="B2748" s="99"/>
      <c r="C2748" s="102" t="s">
        <v>2697</v>
      </c>
      <c r="D2748" s="99" t="s">
        <v>12</v>
      </c>
      <c r="E2748" s="101">
        <v>78.8</v>
      </c>
      <c r="F2748" s="163"/>
    </row>
    <row r="2749" spans="1:6" s="47" customFormat="1" ht="12">
      <c r="A2749" s="93"/>
      <c r="B2749" s="99"/>
      <c r="C2749" s="102" t="s">
        <v>2698</v>
      </c>
      <c r="D2749" s="99" t="s">
        <v>12</v>
      </c>
      <c r="E2749" s="101">
        <v>78.8</v>
      </c>
      <c r="F2749" s="163"/>
    </row>
    <row r="2750" spans="1:6" s="47" customFormat="1" ht="12">
      <c r="A2750" s="93"/>
      <c r="B2750" s="99"/>
      <c r="C2750" s="102" t="s">
        <v>2699</v>
      </c>
      <c r="D2750" s="99" t="s">
        <v>12</v>
      </c>
      <c r="E2750" s="101">
        <v>78.8</v>
      </c>
      <c r="F2750" s="163"/>
    </row>
    <row r="2751" spans="1:6" s="47" customFormat="1" ht="12">
      <c r="A2751" s="93"/>
      <c r="B2751" s="99"/>
      <c r="C2751" s="102" t="s">
        <v>2700</v>
      </c>
      <c r="D2751" s="99" t="s">
        <v>12</v>
      </c>
      <c r="E2751" s="101">
        <v>78.8</v>
      </c>
      <c r="F2751" s="163"/>
    </row>
    <row r="2752" spans="1:6" s="47" customFormat="1" ht="12">
      <c r="A2752" s="93"/>
      <c r="B2752" s="99"/>
      <c r="C2752" s="102" t="s">
        <v>2701</v>
      </c>
      <c r="D2752" s="99" t="s">
        <v>12</v>
      </c>
      <c r="E2752" s="101">
        <v>78.8</v>
      </c>
      <c r="F2752" s="163"/>
    </row>
    <row r="2753" spans="1:6">
      <c r="A2753" s="112"/>
      <c r="B2753" s="99"/>
      <c r="C2753" s="104" t="s">
        <v>2702</v>
      </c>
      <c r="D2753" s="99" t="s">
        <v>12</v>
      </c>
      <c r="E2753" s="113">
        <v>47.66</v>
      </c>
    </row>
    <row r="2754" spans="1:6">
      <c r="A2754" s="112"/>
      <c r="B2754" s="99"/>
      <c r="C2754" s="104" t="s">
        <v>2703</v>
      </c>
      <c r="D2754" s="99" t="s">
        <v>12</v>
      </c>
      <c r="E2754" s="113">
        <v>47.66</v>
      </c>
    </row>
    <row r="2755" spans="1:6">
      <c r="A2755" s="112"/>
      <c r="B2755" s="99"/>
      <c r="C2755" s="104" t="s">
        <v>2524</v>
      </c>
      <c r="D2755" s="99" t="s">
        <v>12</v>
      </c>
      <c r="E2755" s="113">
        <v>5.0999999999999996</v>
      </c>
    </row>
    <row r="2756" spans="1:6">
      <c r="A2756" s="43"/>
      <c r="B2756" s="56"/>
      <c r="C2756" s="83"/>
      <c r="D2756" s="56"/>
      <c r="E2756" s="84"/>
      <c r="F2756" s="164"/>
    </row>
    <row r="2757" spans="1:6" ht="26.4" hidden="1">
      <c r="A2757" s="43"/>
      <c r="B2757" s="56">
        <v>221106</v>
      </c>
      <c r="C2757" s="83" t="s">
        <v>1808</v>
      </c>
      <c r="D2757" s="56" t="s">
        <v>12</v>
      </c>
      <c r="E2757" s="84"/>
      <c r="F2757" s="164"/>
    </row>
    <row r="2758" spans="1:6" hidden="1">
      <c r="A2758" s="43"/>
      <c r="B2758" s="56">
        <v>221107</v>
      </c>
      <c r="C2758" s="83" t="s">
        <v>1809</v>
      </c>
      <c r="D2758" s="56" t="s">
        <v>136</v>
      </c>
      <c r="E2758" s="84"/>
      <c r="F2758" s="164"/>
    </row>
    <row r="2759" spans="1:6" hidden="1">
      <c r="A2759" s="43"/>
      <c r="B2759" s="56">
        <v>221108</v>
      </c>
      <c r="C2759" s="83" t="s">
        <v>1810</v>
      </c>
      <c r="D2759" s="56" t="s">
        <v>39</v>
      </c>
      <c r="E2759" s="84"/>
      <c r="F2759" s="164"/>
    </row>
    <row r="2760" spans="1:6" hidden="1">
      <c r="A2760" s="43"/>
      <c r="B2760" s="56">
        <v>221109</v>
      </c>
      <c r="C2760" s="83" t="s">
        <v>1811</v>
      </c>
      <c r="D2760" s="56" t="s">
        <v>39</v>
      </c>
      <c r="E2760" s="84"/>
      <c r="F2760" s="164"/>
    </row>
    <row r="2761" spans="1:6" ht="39.6" hidden="1">
      <c r="A2761" s="43"/>
      <c r="B2761" s="56">
        <v>221120</v>
      </c>
      <c r="C2761" s="83" t="s">
        <v>1812</v>
      </c>
      <c r="D2761" s="56" t="s">
        <v>12</v>
      </c>
      <c r="E2761" s="84"/>
      <c r="F2761" s="164"/>
    </row>
    <row r="2762" spans="1:6" ht="39.6" hidden="1">
      <c r="A2762" s="43"/>
      <c r="B2762" s="56">
        <v>221122</v>
      </c>
      <c r="C2762" s="83" t="s">
        <v>1813</v>
      </c>
      <c r="D2762" s="56" t="s">
        <v>12</v>
      </c>
      <c r="E2762" s="84"/>
      <c r="F2762" s="164"/>
    </row>
    <row r="2763" spans="1:6" ht="26.4" hidden="1">
      <c r="A2763" s="43"/>
      <c r="B2763" s="56">
        <v>221124</v>
      </c>
      <c r="C2763" s="83" t="s">
        <v>1814</v>
      </c>
      <c r="D2763" s="56" t="s">
        <v>12</v>
      </c>
      <c r="E2763" s="84"/>
      <c r="F2763" s="164"/>
    </row>
    <row r="2764" spans="1:6" ht="26.4" hidden="1">
      <c r="A2764" s="43"/>
      <c r="B2764" s="56">
        <v>221126</v>
      </c>
      <c r="C2764" s="83" t="s">
        <v>1815</v>
      </c>
      <c r="D2764" s="56" t="s">
        <v>12</v>
      </c>
      <c r="E2764" s="84"/>
      <c r="F2764" s="164"/>
    </row>
    <row r="2765" spans="1:6">
      <c r="A2765" s="91" t="s">
        <v>3849</v>
      </c>
      <c r="B2765" s="110" t="s">
        <v>3769</v>
      </c>
      <c r="C2765" s="111" t="s">
        <v>3113</v>
      </c>
      <c r="D2765" s="56" t="s">
        <v>12</v>
      </c>
      <c r="E2765" s="84">
        <f>ROUND((E2766),2)</f>
        <v>399.15</v>
      </c>
      <c r="F2765" s="240"/>
    </row>
    <row r="2766" spans="1:6" ht="22.8">
      <c r="A2766" s="93"/>
      <c r="B2766" s="99"/>
      <c r="C2766" s="102" t="s">
        <v>2693</v>
      </c>
      <c r="D2766" s="99" t="s">
        <v>12</v>
      </c>
      <c r="E2766" s="101">
        <v>399.15</v>
      </c>
      <c r="F2766" s="164"/>
    </row>
    <row r="2767" spans="1:6">
      <c r="A2767" s="93"/>
      <c r="B2767" s="108"/>
      <c r="C2767" s="109"/>
      <c r="D2767" s="108"/>
      <c r="E2767" s="113"/>
      <c r="F2767" s="164"/>
    </row>
    <row r="2768" spans="1:6">
      <c r="A2768" s="91" t="s">
        <v>3850</v>
      </c>
      <c r="B2768" s="110" t="s">
        <v>3770</v>
      </c>
      <c r="C2768" s="111" t="s">
        <v>3388</v>
      </c>
      <c r="D2768" s="56" t="s">
        <v>12</v>
      </c>
      <c r="E2768" s="84">
        <f>ROUND((E2769),2)</f>
        <v>399.15</v>
      </c>
      <c r="F2768" s="240"/>
    </row>
    <row r="2769" spans="1:6" ht="22.8">
      <c r="A2769" s="93"/>
      <c r="B2769" s="108"/>
      <c r="C2769" s="102" t="s">
        <v>2693</v>
      </c>
      <c r="D2769" s="99" t="s">
        <v>12</v>
      </c>
      <c r="E2769" s="101">
        <v>399.15</v>
      </c>
      <c r="F2769" s="164"/>
    </row>
    <row r="2770" spans="1:6">
      <c r="A2770" s="93"/>
      <c r="B2770" s="108"/>
      <c r="C2770" s="109"/>
      <c r="D2770" s="108"/>
      <c r="E2770" s="113"/>
      <c r="F2770" s="164"/>
    </row>
    <row r="2771" spans="1:6" ht="26.4">
      <c r="A2771" s="91" t="s">
        <v>3851</v>
      </c>
      <c r="B2771" s="110" t="s">
        <v>3114</v>
      </c>
      <c r="C2771" s="111" t="s">
        <v>3115</v>
      </c>
      <c r="D2771" s="56" t="s">
        <v>12</v>
      </c>
      <c r="E2771" s="84">
        <f>ROUND((E2772),2)</f>
        <v>399.15</v>
      </c>
      <c r="F2771" s="349"/>
    </row>
    <row r="2772" spans="1:6" ht="22.8">
      <c r="A2772" s="93"/>
      <c r="B2772" s="99"/>
      <c r="C2772" s="102" t="s">
        <v>2693</v>
      </c>
      <c r="D2772" s="99" t="s">
        <v>12</v>
      </c>
      <c r="E2772" s="101">
        <v>399.15</v>
      </c>
    </row>
    <row r="2773" spans="1:6">
      <c r="A2773" s="150"/>
      <c r="B2773" s="151"/>
      <c r="C2773" s="152"/>
      <c r="D2773" s="151"/>
      <c r="E2773" s="153"/>
    </row>
    <row r="2774" spans="1:6">
      <c r="A2774" s="25"/>
      <c r="B2774" s="53"/>
      <c r="C2774" s="27"/>
      <c r="D2774" s="53"/>
      <c r="E2774" s="87"/>
    </row>
    <row r="2775" spans="1:6">
      <c r="A2775" s="32">
        <v>14</v>
      </c>
      <c r="B2775" s="54">
        <v>230000</v>
      </c>
      <c r="C2775" s="29" t="s">
        <v>1816</v>
      </c>
      <c r="D2775" s="146"/>
      <c r="E2775" s="78"/>
    </row>
    <row r="2776" spans="1:6" ht="26.4" hidden="1">
      <c r="A2776" s="25"/>
      <c r="B2776" s="51">
        <v>230101</v>
      </c>
      <c r="C2776" s="82" t="s">
        <v>1817</v>
      </c>
      <c r="D2776" s="51" t="s">
        <v>2930</v>
      </c>
      <c r="E2776" s="87"/>
    </row>
    <row r="2777" spans="1:6" ht="26.4" hidden="1">
      <c r="A2777" s="25"/>
      <c r="B2777" s="51">
        <v>230102</v>
      </c>
      <c r="C2777" s="82" t="s">
        <v>1818</v>
      </c>
      <c r="D2777" s="51" t="s">
        <v>2930</v>
      </c>
      <c r="E2777" s="87"/>
    </row>
    <row r="2778" spans="1:6" ht="26.4" hidden="1">
      <c r="A2778" s="25"/>
      <c r="B2778" s="51">
        <v>230103</v>
      </c>
      <c r="C2778" s="82" t="s">
        <v>1819</v>
      </c>
      <c r="D2778" s="51" t="s">
        <v>2930</v>
      </c>
      <c r="E2778" s="87"/>
    </row>
    <row r="2779" spans="1:6" ht="26.4" hidden="1">
      <c r="A2779" s="25"/>
      <c r="B2779" s="51">
        <v>230104</v>
      </c>
      <c r="C2779" s="82" t="s">
        <v>1820</v>
      </c>
      <c r="D2779" s="51" t="s">
        <v>2930</v>
      </c>
      <c r="E2779" s="87"/>
    </row>
    <row r="2780" spans="1:6" ht="26.4" hidden="1">
      <c r="A2780" s="25"/>
      <c r="B2780" s="51">
        <v>230105</v>
      </c>
      <c r="C2780" s="82" t="s">
        <v>1821</v>
      </c>
      <c r="D2780" s="51" t="s">
        <v>2930</v>
      </c>
      <c r="E2780" s="87"/>
    </row>
    <row r="2781" spans="1:6" hidden="1">
      <c r="A2781" s="25"/>
      <c r="B2781" s="51">
        <v>230106</v>
      </c>
      <c r="C2781" s="82" t="s">
        <v>1822</v>
      </c>
      <c r="D2781" s="51" t="s">
        <v>2930</v>
      </c>
      <c r="E2781" s="87"/>
    </row>
    <row r="2782" spans="1:6" ht="26.4" hidden="1">
      <c r="A2782" s="25"/>
      <c r="B2782" s="51">
        <v>230107</v>
      </c>
      <c r="C2782" s="82" t="s">
        <v>1823</v>
      </c>
      <c r="D2782" s="51" t="s">
        <v>2930</v>
      </c>
      <c r="E2782" s="87"/>
    </row>
    <row r="2783" spans="1:6" ht="26.4" hidden="1">
      <c r="A2783" s="25"/>
      <c r="B2783" s="51">
        <v>230108</v>
      </c>
      <c r="C2783" s="82" t="s">
        <v>1824</v>
      </c>
      <c r="D2783" s="51" t="s">
        <v>2930</v>
      </c>
      <c r="E2783" s="87"/>
    </row>
    <row r="2784" spans="1:6" ht="26.4" hidden="1">
      <c r="A2784" s="25"/>
      <c r="B2784" s="51">
        <v>230109</v>
      </c>
      <c r="C2784" s="82" t="s">
        <v>1825</v>
      </c>
      <c r="D2784" s="51" t="s">
        <v>2930</v>
      </c>
      <c r="E2784" s="87"/>
    </row>
    <row r="2785" spans="1:6" hidden="1">
      <c r="A2785" s="25"/>
      <c r="B2785" s="51">
        <v>230110</v>
      </c>
      <c r="C2785" s="82" t="s">
        <v>1826</v>
      </c>
      <c r="D2785" s="51" t="s">
        <v>2930</v>
      </c>
      <c r="E2785" s="87"/>
    </row>
    <row r="2786" spans="1:6" hidden="1">
      <c r="A2786" s="25"/>
      <c r="B2786" s="51">
        <v>230174</v>
      </c>
      <c r="C2786" s="82" t="s">
        <v>1827</v>
      </c>
      <c r="D2786" s="51" t="s">
        <v>2930</v>
      </c>
      <c r="E2786" s="87"/>
    </row>
    <row r="2787" spans="1:6" hidden="1">
      <c r="A2787" s="25"/>
      <c r="B2787" s="51">
        <v>230176</v>
      </c>
      <c r="C2787" s="82" t="s">
        <v>1828</v>
      </c>
      <c r="D2787" s="51" t="s">
        <v>2930</v>
      </c>
      <c r="E2787" s="87"/>
    </row>
    <row r="2788" spans="1:6" hidden="1">
      <c r="A2788" s="25"/>
      <c r="B2788" s="51">
        <v>230201</v>
      </c>
      <c r="C2788" s="82" t="s">
        <v>1829</v>
      </c>
      <c r="D2788" s="51" t="s">
        <v>2930</v>
      </c>
      <c r="E2788" s="87"/>
    </row>
    <row r="2789" spans="1:6" hidden="1">
      <c r="A2789" s="25"/>
      <c r="B2789" s="51">
        <v>230202</v>
      </c>
      <c r="C2789" s="82" t="s">
        <v>1830</v>
      </c>
      <c r="D2789" s="51" t="s">
        <v>2930</v>
      </c>
      <c r="E2789" s="87"/>
    </row>
    <row r="2790" spans="1:6" hidden="1">
      <c r="A2790" s="25"/>
      <c r="B2790" s="51">
        <v>230206</v>
      </c>
      <c r="C2790" s="82" t="s">
        <v>1831</v>
      </c>
      <c r="D2790" s="51" t="s">
        <v>2930</v>
      </c>
      <c r="E2790" s="87"/>
    </row>
    <row r="2791" spans="1:6" hidden="1">
      <c r="A2791" s="25"/>
      <c r="B2791" s="51">
        <v>230207</v>
      </c>
      <c r="C2791" s="82" t="s">
        <v>1832</v>
      </c>
      <c r="D2791" s="51" t="s">
        <v>2930</v>
      </c>
      <c r="E2791" s="87"/>
    </row>
    <row r="2792" spans="1:6" hidden="1">
      <c r="A2792" s="25"/>
      <c r="B2792" s="51">
        <v>230208</v>
      </c>
      <c r="C2792" s="82" t="s">
        <v>1833</v>
      </c>
      <c r="D2792" s="51" t="s">
        <v>2930</v>
      </c>
      <c r="E2792" s="87"/>
    </row>
    <row r="2793" spans="1:6" ht="26.4" hidden="1">
      <c r="A2793" s="25"/>
      <c r="B2793" s="51">
        <v>230209</v>
      </c>
      <c r="C2793" s="82" t="s">
        <v>1834</v>
      </c>
      <c r="D2793" s="51" t="s">
        <v>2930</v>
      </c>
      <c r="E2793" s="87"/>
    </row>
    <row r="2794" spans="1:6" ht="26.4" hidden="1">
      <c r="A2794" s="25"/>
      <c r="B2794" s="51">
        <v>230210</v>
      </c>
      <c r="C2794" s="82" t="s">
        <v>1835</v>
      </c>
      <c r="D2794" s="51" t="s">
        <v>2930</v>
      </c>
      <c r="E2794" s="87"/>
    </row>
    <row r="2795" spans="1:6" hidden="1">
      <c r="A2795" s="25"/>
      <c r="B2795" s="51">
        <v>230211</v>
      </c>
      <c r="C2795" s="82" t="s">
        <v>1836</v>
      </c>
      <c r="D2795" s="51" t="s">
        <v>2930</v>
      </c>
      <c r="E2795" s="87"/>
    </row>
    <row r="2796" spans="1:6" hidden="1">
      <c r="A2796" s="25"/>
      <c r="B2796" s="51">
        <v>230801</v>
      </c>
      <c r="C2796" s="82" t="s">
        <v>1837</v>
      </c>
      <c r="D2796" s="51" t="s">
        <v>136</v>
      </c>
      <c r="E2796" s="87"/>
    </row>
    <row r="2797" spans="1:6" hidden="1">
      <c r="A2797" s="25"/>
      <c r="B2797" s="51">
        <v>230802</v>
      </c>
      <c r="C2797" s="82" t="s">
        <v>1838</v>
      </c>
      <c r="D2797" s="51" t="s">
        <v>2930</v>
      </c>
      <c r="E2797" s="87"/>
    </row>
    <row r="2798" spans="1:6" hidden="1">
      <c r="A2798" s="25"/>
      <c r="B2798" s="51">
        <v>230803</v>
      </c>
      <c r="C2798" s="82" t="s">
        <v>1839</v>
      </c>
      <c r="D2798" s="51" t="s">
        <v>2930</v>
      </c>
      <c r="E2798" s="87"/>
    </row>
    <row r="2799" spans="1:6" hidden="1">
      <c r="A2799" s="25"/>
      <c r="B2799" s="51">
        <v>230804</v>
      </c>
      <c r="C2799" s="82" t="s">
        <v>1840</v>
      </c>
      <c r="D2799" s="51" t="s">
        <v>2930</v>
      </c>
      <c r="E2799" s="87"/>
    </row>
    <row r="2800" spans="1:6" ht="92.4">
      <c r="A2800" s="91" t="s">
        <v>2858</v>
      </c>
      <c r="B2800" s="110" t="s">
        <v>3652</v>
      </c>
      <c r="C2800" s="111" t="s">
        <v>4088</v>
      </c>
      <c r="D2800" s="110" t="s">
        <v>3056</v>
      </c>
      <c r="E2800" s="84">
        <f>ROUND((SUM(E2802:E2816)),2)</f>
        <v>15</v>
      </c>
      <c r="F2800" s="167"/>
    </row>
    <row r="2801" spans="1:5" ht="22.8">
      <c r="A2801" s="132"/>
      <c r="B2801" s="97"/>
      <c r="C2801" s="116" t="s">
        <v>3261</v>
      </c>
      <c r="D2801" s="115"/>
      <c r="E2801" s="133"/>
    </row>
    <row r="2802" spans="1:5">
      <c r="A2802" s="132"/>
      <c r="B2802" s="97"/>
      <c r="C2802" s="109" t="s">
        <v>3079</v>
      </c>
      <c r="D2802" s="99" t="s">
        <v>2723</v>
      </c>
      <c r="E2802" s="120">
        <v>1</v>
      </c>
    </row>
    <row r="2803" spans="1:5">
      <c r="A2803" s="132"/>
      <c r="B2803" s="97"/>
      <c r="C2803" s="109" t="s">
        <v>3153</v>
      </c>
      <c r="D2803" s="99" t="s">
        <v>2723</v>
      </c>
      <c r="E2803" s="120">
        <v>1</v>
      </c>
    </row>
    <row r="2804" spans="1:5">
      <c r="A2804" s="132"/>
      <c r="B2804" s="97"/>
      <c r="C2804" s="109" t="s">
        <v>3154</v>
      </c>
      <c r="D2804" s="99" t="s">
        <v>2723</v>
      </c>
      <c r="E2804" s="120">
        <v>1</v>
      </c>
    </row>
    <row r="2805" spans="1:5">
      <c r="A2805" s="132"/>
      <c r="B2805" s="97"/>
      <c r="C2805" s="109" t="s">
        <v>3155</v>
      </c>
      <c r="D2805" s="99" t="s">
        <v>2723</v>
      </c>
      <c r="E2805" s="120">
        <v>1</v>
      </c>
    </row>
    <row r="2806" spans="1:5">
      <c r="A2806" s="132"/>
      <c r="B2806" s="97"/>
      <c r="C2806" s="109" t="s">
        <v>3156</v>
      </c>
      <c r="D2806" s="99" t="s">
        <v>2723</v>
      </c>
      <c r="E2806" s="120">
        <v>1</v>
      </c>
    </row>
    <row r="2807" spans="1:5">
      <c r="A2807" s="132"/>
      <c r="B2807" s="97"/>
      <c r="C2807" s="109" t="s">
        <v>3262</v>
      </c>
      <c r="D2807" s="99" t="s">
        <v>2723</v>
      </c>
      <c r="E2807" s="120">
        <v>1</v>
      </c>
    </row>
    <row r="2808" spans="1:5">
      <c r="A2808" s="132"/>
      <c r="B2808" s="97"/>
      <c r="C2808" s="109" t="s">
        <v>3161</v>
      </c>
      <c r="D2808" s="99" t="s">
        <v>2723</v>
      </c>
      <c r="E2808" s="120">
        <v>1</v>
      </c>
    </row>
    <row r="2809" spans="1:5">
      <c r="A2809" s="132"/>
      <c r="B2809" s="97"/>
      <c r="C2809" s="109" t="s">
        <v>3263</v>
      </c>
      <c r="D2809" s="99" t="s">
        <v>2723</v>
      </c>
      <c r="E2809" s="120">
        <v>1</v>
      </c>
    </row>
    <row r="2810" spans="1:5">
      <c r="A2810" s="132"/>
      <c r="B2810" s="97"/>
      <c r="C2810" s="109" t="s">
        <v>3242</v>
      </c>
      <c r="D2810" s="99" t="s">
        <v>2723</v>
      </c>
      <c r="E2810" s="120">
        <v>1</v>
      </c>
    </row>
    <row r="2811" spans="1:5">
      <c r="A2811" s="132"/>
      <c r="B2811" s="56"/>
      <c r="C2811" s="109" t="s">
        <v>3253</v>
      </c>
      <c r="D2811" s="99" t="s">
        <v>2723</v>
      </c>
      <c r="E2811" s="120">
        <v>1</v>
      </c>
    </row>
    <row r="2812" spans="1:5">
      <c r="A2812" s="132"/>
      <c r="B2812" s="56"/>
      <c r="C2812" s="109" t="s">
        <v>2691</v>
      </c>
      <c r="D2812" s="99" t="s">
        <v>2723</v>
      </c>
      <c r="E2812" s="120">
        <v>1</v>
      </c>
    </row>
    <row r="2813" spans="1:5">
      <c r="A2813" s="132"/>
      <c r="B2813" s="56"/>
      <c r="C2813" s="109" t="s">
        <v>3265</v>
      </c>
      <c r="D2813" s="99" t="s">
        <v>2723</v>
      </c>
      <c r="E2813" s="120">
        <v>1</v>
      </c>
    </row>
    <row r="2814" spans="1:5">
      <c r="A2814" s="132"/>
      <c r="B2814" s="56"/>
      <c r="C2814" s="109" t="s">
        <v>3266</v>
      </c>
      <c r="D2814" s="99" t="s">
        <v>2723</v>
      </c>
      <c r="E2814" s="120">
        <v>1</v>
      </c>
    </row>
    <row r="2815" spans="1:5">
      <c r="A2815" s="132"/>
      <c r="B2815" s="56"/>
      <c r="C2815" s="109" t="s">
        <v>2690</v>
      </c>
      <c r="D2815" s="99" t="s">
        <v>2723</v>
      </c>
      <c r="E2815" s="120">
        <v>1</v>
      </c>
    </row>
    <row r="2816" spans="1:5">
      <c r="A2816" s="132"/>
      <c r="B2816" s="56"/>
      <c r="C2816" s="109" t="s">
        <v>3267</v>
      </c>
      <c r="D2816" s="99" t="s">
        <v>2723</v>
      </c>
      <c r="E2816" s="120">
        <v>1</v>
      </c>
    </row>
    <row r="2817" spans="1:5">
      <c r="A2817" s="43"/>
      <c r="B2817" s="110"/>
      <c r="C2817" s="111"/>
      <c r="D2817" s="110"/>
      <c r="E2817" s="84"/>
    </row>
    <row r="2818" spans="1:5" hidden="1">
      <c r="A2818" s="43"/>
      <c r="B2818" s="115"/>
      <c r="C2818" s="114"/>
      <c r="D2818" s="115"/>
      <c r="E2818" s="84"/>
    </row>
    <row r="2819" spans="1:5" hidden="1">
      <c r="A2819" s="25"/>
      <c r="B2819" s="53"/>
      <c r="C2819" s="27"/>
      <c r="D2819" s="53"/>
      <c r="E2819" s="87"/>
    </row>
    <row r="2820" spans="1:5" hidden="1">
      <c r="A2820" s="25"/>
      <c r="B2820" s="53"/>
      <c r="C2820" s="27"/>
      <c r="D2820" s="53"/>
      <c r="E2820" s="87"/>
    </row>
    <row r="2821" spans="1:5" hidden="1">
      <c r="A2821" s="25"/>
      <c r="B2821" s="53"/>
      <c r="C2821" s="27"/>
      <c r="D2821" s="53"/>
      <c r="E2821" s="87"/>
    </row>
    <row r="2822" spans="1:5">
      <c r="A2822" s="32"/>
      <c r="B2822" s="61">
        <v>240000</v>
      </c>
      <c r="C2822" s="44" t="s">
        <v>1841</v>
      </c>
      <c r="D2822" s="147"/>
      <c r="E2822" s="88"/>
    </row>
    <row r="2823" spans="1:5" hidden="1">
      <c r="A2823" s="25"/>
      <c r="B2823" s="51">
        <v>240104</v>
      </c>
      <c r="C2823" s="82" t="s">
        <v>1842</v>
      </c>
      <c r="D2823" s="51" t="s">
        <v>12</v>
      </c>
      <c r="E2823" s="87"/>
    </row>
    <row r="2824" spans="1:5" hidden="1">
      <c r="A2824" s="25"/>
      <c r="B2824" s="51">
        <v>240105</v>
      </c>
      <c r="C2824" s="82" t="s">
        <v>1843</v>
      </c>
      <c r="D2824" s="51" t="s">
        <v>39</v>
      </c>
      <c r="E2824" s="87"/>
    </row>
    <row r="2825" spans="1:5" hidden="1">
      <c r="A2825" s="25"/>
      <c r="B2825" s="51">
        <v>240106</v>
      </c>
      <c r="C2825" s="82" t="s">
        <v>1844</v>
      </c>
      <c r="D2825" s="51" t="s">
        <v>136</v>
      </c>
      <c r="E2825" s="87"/>
    </row>
    <row r="2826" spans="1:5" hidden="1">
      <c r="A2826" s="25"/>
      <c r="B2826" s="51">
        <v>240107</v>
      </c>
      <c r="C2826" s="82" t="s">
        <v>1845</v>
      </c>
      <c r="D2826" s="51" t="s">
        <v>12</v>
      </c>
      <c r="E2826" s="87"/>
    </row>
    <row r="2827" spans="1:5" ht="26.4" hidden="1">
      <c r="A2827" s="25"/>
      <c r="B2827" s="51">
        <v>240108</v>
      </c>
      <c r="C2827" s="82" t="s">
        <v>1846</v>
      </c>
      <c r="D2827" s="51" t="s">
        <v>12</v>
      </c>
      <c r="E2827" s="87"/>
    </row>
    <row r="2828" spans="1:5" hidden="1">
      <c r="A2828" s="25"/>
      <c r="B2828" s="51">
        <v>240109</v>
      </c>
      <c r="C2828" s="82" t="s">
        <v>1847</v>
      </c>
      <c r="D2828" s="51" t="s">
        <v>12</v>
      </c>
      <c r="E2828" s="87"/>
    </row>
    <row r="2829" spans="1:5" hidden="1">
      <c r="A2829" s="25"/>
      <c r="B2829" s="51">
        <v>240110</v>
      </c>
      <c r="C2829" s="82" t="s">
        <v>1848</v>
      </c>
      <c r="D2829" s="51" t="s">
        <v>2930</v>
      </c>
      <c r="E2829" s="87"/>
    </row>
    <row r="2830" spans="1:5" ht="26.4" hidden="1">
      <c r="A2830" s="25"/>
      <c r="B2830" s="51">
        <v>240200</v>
      </c>
      <c r="C2830" s="82" t="s">
        <v>1849</v>
      </c>
      <c r="D2830" s="51" t="s">
        <v>12</v>
      </c>
      <c r="E2830" s="87"/>
    </row>
    <row r="2831" spans="1:5" hidden="1">
      <c r="A2831" s="25"/>
      <c r="B2831" s="51">
        <v>240203</v>
      </c>
      <c r="C2831" s="82" t="s">
        <v>1850</v>
      </c>
      <c r="D2831" s="51" t="s">
        <v>12</v>
      </c>
      <c r="E2831" s="87"/>
    </row>
    <row r="2832" spans="1:5" hidden="1">
      <c r="A2832" s="25"/>
      <c r="B2832" s="51">
        <v>240208</v>
      </c>
      <c r="C2832" s="82" t="s">
        <v>1851</v>
      </c>
      <c r="D2832" s="51" t="s">
        <v>39</v>
      </c>
      <c r="E2832" s="87"/>
    </row>
    <row r="2833" spans="1:5" ht="26.4" hidden="1">
      <c r="A2833" s="25"/>
      <c r="B2833" s="51">
        <v>240209</v>
      </c>
      <c r="C2833" s="82" t="s">
        <v>1852</v>
      </c>
      <c r="D2833" s="51" t="s">
        <v>39</v>
      </c>
      <c r="E2833" s="87"/>
    </row>
    <row r="2834" spans="1:5" ht="26.4" hidden="1">
      <c r="A2834" s="25"/>
      <c r="B2834" s="51">
        <v>240210</v>
      </c>
      <c r="C2834" s="82" t="s">
        <v>1853</v>
      </c>
      <c r="D2834" s="51" t="s">
        <v>2930</v>
      </c>
      <c r="E2834" s="87"/>
    </row>
    <row r="2835" spans="1:5">
      <c r="A2835" s="32">
        <v>15</v>
      </c>
      <c r="B2835" s="61">
        <v>250000</v>
      </c>
      <c r="C2835" s="44" t="s">
        <v>1854</v>
      </c>
      <c r="D2835" s="148"/>
      <c r="E2835" s="88"/>
    </row>
    <row r="2836" spans="1:5">
      <c r="A2836" s="91" t="s">
        <v>2887</v>
      </c>
      <c r="B2836" s="56">
        <v>250101</v>
      </c>
      <c r="C2836" s="83" t="s">
        <v>1855</v>
      </c>
      <c r="D2836" s="56" t="s">
        <v>845</v>
      </c>
      <c r="E2836" s="84">
        <f>ROUND((E2837),2)</f>
        <v>176</v>
      </c>
    </row>
    <row r="2837" spans="1:5">
      <c r="A2837" s="43"/>
      <c r="B2837" s="56"/>
      <c r="C2837" s="104" t="s">
        <v>3311</v>
      </c>
      <c r="D2837" s="99" t="s">
        <v>2708</v>
      </c>
      <c r="E2837" s="113">
        <f>2*22*4</f>
        <v>176</v>
      </c>
    </row>
    <row r="2838" spans="1:5">
      <c r="A2838" s="43"/>
      <c r="B2838" s="56"/>
      <c r="C2838" s="83"/>
      <c r="D2838" s="56"/>
      <c r="E2838" s="84"/>
    </row>
    <row r="2839" spans="1:5">
      <c r="A2839" s="91" t="s">
        <v>2888</v>
      </c>
      <c r="B2839" s="56">
        <v>250102</v>
      </c>
      <c r="C2839" s="83" t="s">
        <v>1856</v>
      </c>
      <c r="D2839" s="56" t="s">
        <v>845</v>
      </c>
      <c r="E2839" s="84">
        <f>ROUND((E2840),2)</f>
        <v>704</v>
      </c>
    </row>
    <row r="2840" spans="1:5">
      <c r="A2840" s="43"/>
      <c r="B2840" s="56"/>
      <c r="C2840" s="104" t="s">
        <v>3293</v>
      </c>
      <c r="D2840" s="99" t="s">
        <v>2708</v>
      </c>
      <c r="E2840" s="113">
        <f>8*22*4</f>
        <v>704</v>
      </c>
    </row>
    <row r="2841" spans="1:5">
      <c r="A2841" s="43"/>
      <c r="B2841" s="56"/>
      <c r="C2841" s="83"/>
      <c r="D2841" s="56"/>
      <c r="E2841" s="84"/>
    </row>
    <row r="2842" spans="1:5" hidden="1">
      <c r="A2842" s="43"/>
      <c r="B2842" s="56">
        <v>250103</v>
      </c>
      <c r="C2842" s="83" t="s">
        <v>1857</v>
      </c>
      <c r="D2842" s="56" t="s">
        <v>845</v>
      </c>
      <c r="E2842" s="84"/>
    </row>
    <row r="2843" spans="1:5" hidden="1">
      <c r="A2843" s="43"/>
      <c r="B2843" s="56">
        <v>250104</v>
      </c>
      <c r="C2843" s="83" t="s">
        <v>1858</v>
      </c>
      <c r="D2843" s="56" t="s">
        <v>845</v>
      </c>
      <c r="E2843" s="84"/>
    </row>
    <row r="2844" spans="1:5" hidden="1">
      <c r="A2844" s="43"/>
      <c r="B2844" s="56">
        <v>250105</v>
      </c>
      <c r="C2844" s="83" t="s">
        <v>1859</v>
      </c>
      <c r="D2844" s="56" t="s">
        <v>845</v>
      </c>
      <c r="E2844" s="84"/>
    </row>
    <row r="2845" spans="1:5" hidden="1">
      <c r="A2845" s="43"/>
      <c r="B2845" s="56">
        <v>250109</v>
      </c>
      <c r="C2845" s="83" t="s">
        <v>1860</v>
      </c>
      <c r="D2845" s="56" t="s">
        <v>845</v>
      </c>
      <c r="E2845" s="84"/>
    </row>
    <row r="2846" spans="1:5" ht="26.4" hidden="1">
      <c r="A2846" s="25"/>
      <c r="B2846" s="51">
        <v>250110</v>
      </c>
      <c r="C2846" s="82" t="s">
        <v>1861</v>
      </c>
      <c r="D2846" s="51" t="s">
        <v>845</v>
      </c>
      <c r="E2846" s="87"/>
    </row>
    <row r="2847" spans="1:5" hidden="1">
      <c r="A2847" s="25"/>
      <c r="B2847" s="51">
        <v>250111</v>
      </c>
      <c r="C2847" s="82" t="s">
        <v>1862</v>
      </c>
      <c r="D2847" s="51" t="s">
        <v>845</v>
      </c>
      <c r="E2847" s="87"/>
    </row>
    <row r="2848" spans="1:5" hidden="1">
      <c r="A2848" s="25"/>
      <c r="B2848" s="51">
        <v>250112</v>
      </c>
      <c r="C2848" s="82" t="s">
        <v>1863</v>
      </c>
      <c r="D2848" s="51" t="s">
        <v>845</v>
      </c>
      <c r="E2848" s="87"/>
    </row>
    <row r="2849" spans="1:5" hidden="1">
      <c r="A2849" s="25"/>
      <c r="B2849" s="51">
        <v>250113</v>
      </c>
      <c r="C2849" s="82" t="s">
        <v>1864</v>
      </c>
      <c r="D2849" s="51" t="s">
        <v>1865</v>
      </c>
      <c r="E2849" s="87"/>
    </row>
    <row r="2850" spans="1:5">
      <c r="A2850" s="32">
        <v>16</v>
      </c>
      <c r="B2850" s="61">
        <v>260000</v>
      </c>
      <c r="C2850" s="44" t="s">
        <v>1866</v>
      </c>
      <c r="D2850" s="148"/>
      <c r="E2850" s="88"/>
    </row>
    <row r="2851" spans="1:5" hidden="1">
      <c r="A2851" s="43"/>
      <c r="B2851" s="56">
        <v>260101</v>
      </c>
      <c r="C2851" s="83" t="s">
        <v>1867</v>
      </c>
      <c r="D2851" s="56" t="s">
        <v>12</v>
      </c>
      <c r="E2851" s="84"/>
    </row>
    <row r="2852" spans="1:5" hidden="1">
      <c r="A2852" s="43"/>
      <c r="B2852" s="56">
        <v>260102</v>
      </c>
      <c r="C2852" s="83" t="s">
        <v>1868</v>
      </c>
      <c r="D2852" s="56" t="s">
        <v>12</v>
      </c>
      <c r="E2852" s="84"/>
    </row>
    <row r="2853" spans="1:5" hidden="1">
      <c r="A2853" s="43"/>
      <c r="B2853" s="56">
        <v>260103</v>
      </c>
      <c r="C2853" s="83" t="s">
        <v>1869</v>
      </c>
      <c r="D2853" s="56" t="s">
        <v>12</v>
      </c>
      <c r="E2853" s="84"/>
    </row>
    <row r="2854" spans="1:5" hidden="1">
      <c r="A2854" s="43"/>
      <c r="B2854" s="56">
        <v>260104</v>
      </c>
      <c r="C2854" s="83" t="s">
        <v>1870</v>
      </c>
      <c r="D2854" s="56" t="s">
        <v>12</v>
      </c>
      <c r="E2854" s="84"/>
    </row>
    <row r="2855" spans="1:5" hidden="1">
      <c r="A2855" s="43"/>
      <c r="B2855" s="56">
        <v>260105</v>
      </c>
      <c r="C2855" s="83" t="s">
        <v>1871</v>
      </c>
      <c r="D2855" s="56" t="s">
        <v>12</v>
      </c>
      <c r="E2855" s="84"/>
    </row>
    <row r="2856" spans="1:5" hidden="1">
      <c r="A2856" s="43"/>
      <c r="B2856" s="56">
        <v>260201</v>
      </c>
      <c r="C2856" s="83" t="s">
        <v>1872</v>
      </c>
      <c r="D2856" s="56" t="s">
        <v>12</v>
      </c>
      <c r="E2856" s="84"/>
    </row>
    <row r="2857" spans="1:5" hidden="1">
      <c r="A2857" s="43"/>
      <c r="B2857" s="56">
        <v>260202</v>
      </c>
      <c r="C2857" s="83" t="s">
        <v>1873</v>
      </c>
      <c r="D2857" s="56" t="s">
        <v>12</v>
      </c>
      <c r="E2857" s="84"/>
    </row>
    <row r="2858" spans="1:5" hidden="1">
      <c r="A2858" s="43"/>
      <c r="B2858" s="56">
        <v>260204</v>
      </c>
      <c r="C2858" s="83" t="s">
        <v>1874</v>
      </c>
      <c r="D2858" s="56" t="s">
        <v>12</v>
      </c>
      <c r="E2858" s="84"/>
    </row>
    <row r="2859" spans="1:5" hidden="1">
      <c r="A2859" s="43"/>
      <c r="B2859" s="56">
        <v>260601</v>
      </c>
      <c r="C2859" s="83" t="s">
        <v>1875</v>
      </c>
      <c r="D2859" s="56" t="s">
        <v>12</v>
      </c>
      <c r="E2859" s="84"/>
    </row>
    <row r="2860" spans="1:5" hidden="1">
      <c r="A2860" s="43"/>
      <c r="B2860" s="56">
        <v>260801</v>
      </c>
      <c r="C2860" s="83" t="s">
        <v>1876</v>
      </c>
      <c r="D2860" s="56" t="s">
        <v>12</v>
      </c>
      <c r="E2860" s="84"/>
    </row>
    <row r="2861" spans="1:5" hidden="1">
      <c r="A2861" s="43"/>
      <c r="B2861" s="56">
        <v>260901</v>
      </c>
      <c r="C2861" s="83" t="s">
        <v>1877</v>
      </c>
      <c r="D2861" s="56" t="s">
        <v>12</v>
      </c>
      <c r="E2861" s="84"/>
    </row>
    <row r="2862" spans="1:5" hidden="1">
      <c r="A2862" s="43"/>
      <c r="B2862" s="56">
        <v>260902</v>
      </c>
      <c r="C2862" s="83" t="s">
        <v>1878</v>
      </c>
      <c r="D2862" s="56" t="s">
        <v>12</v>
      </c>
      <c r="E2862" s="84"/>
    </row>
    <row r="2863" spans="1:5" hidden="1">
      <c r="A2863" s="43"/>
      <c r="B2863" s="56">
        <v>260909</v>
      </c>
      <c r="C2863" s="83" t="s">
        <v>1879</v>
      </c>
      <c r="D2863" s="56" t="s">
        <v>12</v>
      </c>
      <c r="E2863" s="84"/>
    </row>
    <row r="2864" spans="1:5" hidden="1">
      <c r="A2864" s="43"/>
      <c r="B2864" s="56">
        <v>261000</v>
      </c>
      <c r="C2864" s="83" t="s">
        <v>1880</v>
      </c>
      <c r="D2864" s="56" t="s">
        <v>12</v>
      </c>
      <c r="E2864" s="84"/>
    </row>
    <row r="2865" spans="1:7">
      <c r="A2865" s="91" t="s">
        <v>3653</v>
      </c>
      <c r="B2865" s="56">
        <v>261001</v>
      </c>
      <c r="C2865" s="83" t="s">
        <v>1881</v>
      </c>
      <c r="D2865" s="56" t="s">
        <v>12</v>
      </c>
      <c r="E2865" s="84">
        <f>ROUND(SUM(E2867:E2929),2)</f>
        <v>4399.99</v>
      </c>
      <c r="F2865" s="166"/>
    </row>
    <row r="2866" spans="1:7" ht="34.200000000000003">
      <c r="A2866" s="93"/>
      <c r="B2866" s="99"/>
      <c r="C2866" s="107" t="s">
        <v>3209</v>
      </c>
      <c r="D2866" s="99"/>
      <c r="E2866" s="113"/>
    </row>
    <row r="2867" spans="1:7" ht="34.200000000000003">
      <c r="A2867" s="93"/>
      <c r="B2867" s="99"/>
      <c r="C2867" s="104" t="s">
        <v>2635</v>
      </c>
      <c r="D2867" s="99" t="s">
        <v>12</v>
      </c>
      <c r="E2867" s="113">
        <f>(25.7*3)-((2 * 1) + (2 * 1)+(1*2.1*2))</f>
        <v>68.899999999999991</v>
      </c>
    </row>
    <row r="2868" spans="1:7" ht="34.200000000000003">
      <c r="A2868" s="93"/>
      <c r="B2868" s="99"/>
      <c r="C2868" s="104" t="s">
        <v>2636</v>
      </c>
      <c r="D2868" s="99" t="s">
        <v>12</v>
      </c>
      <c r="E2868" s="113">
        <f>(25.7*3)-((2*1*2)+(1*2.1*3)+(2*1))</f>
        <v>64.8</v>
      </c>
    </row>
    <row r="2869" spans="1:7" ht="34.200000000000003">
      <c r="A2869" s="93"/>
      <c r="B2869" s="99"/>
      <c r="C2869" s="104" t="s">
        <v>2637</v>
      </c>
      <c r="D2869" s="99" t="s">
        <v>12</v>
      </c>
      <c r="E2869" s="113">
        <f>(25.7*3)-((1.5*1)+(1.5*1)+(2.1*1)+(2.1*1)+(2*1))</f>
        <v>67.899999999999991</v>
      </c>
    </row>
    <row r="2870" spans="1:7" ht="34.200000000000003">
      <c r="A2870" s="93"/>
      <c r="B2870" s="99"/>
      <c r="C2870" s="104" t="s">
        <v>2638</v>
      </c>
      <c r="D2870" s="99" t="s">
        <v>12</v>
      </c>
      <c r="E2870" s="113">
        <f>(25.7*3)-((1.5*1)+(1.5*1)+(2.1*1)+(2*1))</f>
        <v>70</v>
      </c>
    </row>
    <row r="2871" spans="1:7" ht="45.6">
      <c r="A2871" s="93"/>
      <c r="B2871" s="99"/>
      <c r="C2871" s="104" t="s">
        <v>3121</v>
      </c>
      <c r="D2871" s="99" t="s">
        <v>12</v>
      </c>
      <c r="E2871" s="113">
        <f>(83.6*3)-(20*1.5)</f>
        <v>220.79999999999998</v>
      </c>
      <c r="F2871" s="155"/>
    </row>
    <row r="2872" spans="1:7" ht="34.200000000000003">
      <c r="A2872" s="93"/>
      <c r="B2872" s="99"/>
      <c r="C2872" s="104" t="s">
        <v>3117</v>
      </c>
      <c r="D2872" s="99" t="s">
        <v>12</v>
      </c>
      <c r="E2872" s="113">
        <f xml:space="preserve"> (10.8 + 6.9 + 6.9 + 16.93)*0.8</f>
        <v>33.224000000000004</v>
      </c>
      <c r="F2872" s="154"/>
    </row>
    <row r="2873" spans="1:7" ht="91.2">
      <c r="A2873" s="93"/>
      <c r="B2873" s="99"/>
      <c r="C2873" s="104" t="s">
        <v>3122</v>
      </c>
      <c r="D2873" s="99" t="s">
        <v>12</v>
      </c>
      <c r="E2873" s="113">
        <f>(((0.35+0.05+0.05)*2)+((0.25+0.15+0.25)+(0.35+0.05)+(0.35+0.05+0.05)+(0.25+0.15+0.25)+(0.35+0.05)+(0.05+0.35+0.05)+(0.25+0.15+0.25)+(0.35+0.05)+(0.05+0.35+0.05)+(0.25+0.15+0.25)+(0.05+0.35+0.05)+(0.05+0.35+0.05)))*1.4</f>
        <v>9.73</v>
      </c>
    </row>
    <row r="2874" spans="1:7" ht="34.200000000000003">
      <c r="A2874" s="93"/>
      <c r="B2874" s="99"/>
      <c r="C2874" s="104" t="s">
        <v>3118</v>
      </c>
      <c r="D2874" s="99" t="s">
        <v>12</v>
      </c>
      <c r="E2874" s="113">
        <f xml:space="preserve"> (0.15 + 0.15 + 0.35 + 0.35) * 5*2.2</f>
        <v>10.999999999999998</v>
      </c>
    </row>
    <row r="2875" spans="1:7" ht="22.8">
      <c r="A2875" s="112"/>
      <c r="B2875" s="108"/>
      <c r="C2875" s="109" t="s">
        <v>3125</v>
      </c>
      <c r="D2875" s="108" t="s">
        <v>12</v>
      </c>
      <c r="E2875" s="113">
        <f>2.95*0.8*2</f>
        <v>4.7200000000000006</v>
      </c>
    </row>
    <row r="2876" spans="1:7" ht="22.8">
      <c r="A2876" s="112"/>
      <c r="B2876" s="108"/>
      <c r="C2876" s="109" t="s">
        <v>3126</v>
      </c>
      <c r="D2876" s="108" t="s">
        <v>12</v>
      </c>
      <c r="E2876" s="113">
        <f>2.95*0.8*2</f>
        <v>4.7200000000000006</v>
      </c>
    </row>
    <row r="2877" spans="1:7" ht="22.8">
      <c r="A2877" s="112"/>
      <c r="B2877" s="108"/>
      <c r="C2877" s="109" t="s">
        <v>3162</v>
      </c>
      <c r="D2877" s="108" t="s">
        <v>12</v>
      </c>
      <c r="E2877" s="113">
        <f>((3+3+5+5)*3)-2.1</f>
        <v>45.9</v>
      </c>
    </row>
    <row r="2878" spans="1:7" ht="34.200000000000003">
      <c r="A2878" s="93"/>
      <c r="B2878" s="99"/>
      <c r="C2878" s="104" t="s">
        <v>3222</v>
      </c>
      <c r="D2878" s="108" t="s">
        <v>12</v>
      </c>
      <c r="E2878" s="113">
        <f>0.9*2</f>
        <v>1.8</v>
      </c>
    </row>
    <row r="2879" spans="1:7">
      <c r="A2879" s="93"/>
      <c r="B2879" s="99"/>
      <c r="C2879" s="104"/>
      <c r="D2879" s="99"/>
      <c r="E2879" s="113"/>
    </row>
    <row r="2880" spans="1:7">
      <c r="A2880" s="93"/>
      <c r="B2880" s="99"/>
      <c r="C2880" s="104"/>
      <c r="D2880" s="99"/>
      <c r="E2880" s="113"/>
      <c r="G2880" s="62"/>
    </row>
    <row r="2881" spans="1:5" ht="34.200000000000003">
      <c r="A2881" s="93"/>
      <c r="B2881" s="99"/>
      <c r="C2881" s="104" t="s">
        <v>3140</v>
      </c>
      <c r="D2881" s="99" t="s">
        <v>12</v>
      </c>
      <c r="E2881" s="113">
        <f>((35.7*3) - ((1.5*1*4)+(2*1*3)+(1*2.1)))*6</f>
        <v>558.00000000000011</v>
      </c>
    </row>
    <row r="2882" spans="1:5" ht="45.6">
      <c r="A2882" s="93"/>
      <c r="B2882" s="99"/>
      <c r="C2882" s="104" t="s">
        <v>3203</v>
      </c>
      <c r="D2882" s="99" t="s">
        <v>12</v>
      </c>
      <c r="E2882" s="113">
        <f>(70.3*1.9)-((1*1*4)+(2*1*2)+(4*1.9*5)+(2.3*1.9*5)+(2.85*1.9*5)+(2*1))</f>
        <v>36.644999999999996</v>
      </c>
    </row>
    <row r="2883" spans="1:5" ht="34.200000000000003">
      <c r="A2883" s="93"/>
      <c r="B2883" s="99"/>
      <c r="C2883" s="104" t="s">
        <v>3204</v>
      </c>
      <c r="D2883" s="99" t="s">
        <v>12</v>
      </c>
      <c r="E2883" s="113">
        <f>((10+0.55+5.3+3.15+4.7+50.15)*1.9)-((1*1*10)+(2*1*16))</f>
        <v>98.314999999999969</v>
      </c>
    </row>
    <row r="2884" spans="1:5">
      <c r="A2884" s="93"/>
      <c r="B2884" s="99"/>
      <c r="C2884" s="104"/>
      <c r="D2884" s="99"/>
      <c r="E2884" s="113"/>
    </row>
    <row r="2885" spans="1:5">
      <c r="A2885" s="93"/>
      <c r="B2885" s="99"/>
      <c r="C2885" s="104" t="s">
        <v>3208</v>
      </c>
      <c r="D2885" s="99"/>
      <c r="E2885" s="113"/>
    </row>
    <row r="2886" spans="1:5" ht="22.8">
      <c r="A2886" s="93"/>
      <c r="B2886" s="99"/>
      <c r="C2886" s="104" t="s">
        <v>3206</v>
      </c>
      <c r="D2886" s="99" t="s">
        <v>12</v>
      </c>
      <c r="E2886" s="113">
        <f>((1.8*8)+(1.3*12))*(3.4-1.1)</f>
        <v>69</v>
      </c>
    </row>
    <row r="2887" spans="1:5">
      <c r="A2887" s="93"/>
      <c r="B2887" s="99"/>
      <c r="C2887" s="104"/>
      <c r="D2887" s="99"/>
      <c r="E2887" s="113"/>
    </row>
    <row r="2888" spans="1:5">
      <c r="A2888" s="43"/>
      <c r="B2888" s="115"/>
      <c r="C2888" s="116" t="s">
        <v>2639</v>
      </c>
      <c r="D2888" s="115"/>
      <c r="E2888" s="84"/>
    </row>
    <row r="2889" spans="1:5" ht="34.200000000000003">
      <c r="A2889" s="43"/>
      <c r="B2889" s="115"/>
      <c r="C2889" s="104" t="s">
        <v>3212</v>
      </c>
      <c r="D2889" s="99" t="s">
        <v>12</v>
      </c>
      <c r="E2889" s="113">
        <f>(((4.6+4.85+4.6+4.85+4.85+4.725+4.725+4.85+4.6)*2)+(4.3))*0.85</f>
        <v>76.160000000000011</v>
      </c>
    </row>
    <row r="2890" spans="1:5" ht="34.200000000000003">
      <c r="A2890" s="43"/>
      <c r="B2890" s="115"/>
      <c r="C2890" s="104" t="s">
        <v>3213</v>
      </c>
      <c r="D2890" s="99" t="s">
        <v>12</v>
      </c>
      <c r="E2890" s="113">
        <f>4.7*0.5</f>
        <v>2.35</v>
      </c>
    </row>
    <row r="2891" spans="1:5" ht="34.200000000000003">
      <c r="A2891" s="43"/>
      <c r="B2891" s="115"/>
      <c r="C2891" s="104" t="s">
        <v>3214</v>
      </c>
      <c r="D2891" s="99" t="s">
        <v>12</v>
      </c>
      <c r="E2891" s="113">
        <f>7.4*0.5</f>
        <v>3.7</v>
      </c>
    </row>
    <row r="2892" spans="1:5">
      <c r="A2892" s="43"/>
      <c r="B2892" s="115"/>
      <c r="C2892" s="104"/>
      <c r="D2892" s="99"/>
      <c r="E2892" s="113"/>
    </row>
    <row r="2893" spans="1:5">
      <c r="A2893" s="43"/>
      <c r="B2893" s="115"/>
      <c r="C2893" s="104" t="s">
        <v>3210</v>
      </c>
      <c r="D2893" s="99"/>
      <c r="E2893" s="113"/>
    </row>
    <row r="2894" spans="1:5" ht="34.200000000000003">
      <c r="A2894" s="43"/>
      <c r="B2894" s="115"/>
      <c r="C2894" s="104" t="s">
        <v>3211</v>
      </c>
      <c r="D2894" s="99" t="s">
        <v>12</v>
      </c>
      <c r="E2894" s="113">
        <f>95*(1.45+0.5)</f>
        <v>185.25</v>
      </c>
    </row>
    <row r="2895" spans="1:5">
      <c r="A2895" s="43"/>
      <c r="B2895" s="115"/>
      <c r="C2895" s="104"/>
      <c r="D2895" s="99"/>
      <c r="E2895" s="113"/>
    </row>
    <row r="2896" spans="1:5" ht="57">
      <c r="A2896" s="43"/>
      <c r="B2896" s="115"/>
      <c r="C2896" s="104" t="s">
        <v>3217</v>
      </c>
      <c r="D2896" s="99" t="s">
        <v>12</v>
      </c>
      <c r="E2896" s="113">
        <f>(0.55*2.6*2)+(0.25*1.3*2)</f>
        <v>3.5100000000000002</v>
      </c>
    </row>
    <row r="2897" spans="1:6">
      <c r="A2897" s="43"/>
      <c r="B2897" s="115"/>
      <c r="C2897" s="104"/>
      <c r="D2897" s="99"/>
      <c r="E2897" s="113"/>
    </row>
    <row r="2898" spans="1:6">
      <c r="A2898" s="43"/>
      <c r="B2898" s="115"/>
      <c r="C2898" s="104" t="s">
        <v>3218</v>
      </c>
      <c r="D2898" s="99" t="s">
        <v>12</v>
      </c>
      <c r="E2898" s="113">
        <f>4.3*3.2*2</f>
        <v>27.52</v>
      </c>
    </row>
    <row r="2899" spans="1:6">
      <c r="A2899" s="93"/>
      <c r="B2899" s="99"/>
      <c r="C2899" s="104"/>
      <c r="D2899" s="99"/>
      <c r="E2899" s="113"/>
    </row>
    <row r="2900" spans="1:6" ht="22.8">
      <c r="A2900" s="93"/>
      <c r="B2900" s="99"/>
      <c r="C2900" s="107" t="s">
        <v>3229</v>
      </c>
      <c r="D2900" s="99"/>
      <c r="E2900" s="113"/>
    </row>
    <row r="2901" spans="1:6" ht="45.6">
      <c r="A2901" s="93"/>
      <c r="B2901" s="99"/>
      <c r="C2901" s="104" t="s">
        <v>3902</v>
      </c>
      <c r="D2901" s="99" t="s">
        <v>2616</v>
      </c>
      <c r="E2901" s="113">
        <f>((11.8*2)*1.45)+11.15</f>
        <v>45.37</v>
      </c>
    </row>
    <row r="2902" spans="1:6" ht="22.8">
      <c r="A2902" s="93"/>
      <c r="B2902" s="99"/>
      <c r="C2902" s="104" t="s">
        <v>3228</v>
      </c>
      <c r="D2902" s="99" t="s">
        <v>2616</v>
      </c>
      <c r="E2902" s="113">
        <f>(27.2*3.35)-(7.4*2.5)</f>
        <v>72.62</v>
      </c>
    </row>
    <row r="2903" spans="1:6" ht="61.2" customHeight="1">
      <c r="A2903" s="93"/>
      <c r="B2903" s="99"/>
      <c r="C2903" s="104" t="s">
        <v>3223</v>
      </c>
      <c r="D2903" s="99" t="s">
        <v>2616</v>
      </c>
      <c r="E2903" s="113">
        <f>(70.15*3.35)-(2*0.6*4)-(1.5*1*20)+(0.15*28*3.35)</f>
        <v>214.27250000000001</v>
      </c>
      <c r="F2903" s="164"/>
    </row>
    <row r="2904" spans="1:6" ht="45.6">
      <c r="A2904" s="93"/>
      <c r="B2904" s="99"/>
      <c r="C2904" s="104" t="s">
        <v>3224</v>
      </c>
      <c r="D2904" s="99" t="s">
        <v>2616</v>
      </c>
      <c r="E2904" s="113">
        <f>(71.17*1.45)+(71.17*0.5)</f>
        <v>138.78149999999999</v>
      </c>
      <c r="F2904" s="164"/>
    </row>
    <row r="2905" spans="1:6" ht="57">
      <c r="A2905" s="93"/>
      <c r="B2905" s="99"/>
      <c r="C2905" s="104" t="s">
        <v>3226</v>
      </c>
      <c r="D2905" s="99" t="s">
        <v>2616</v>
      </c>
      <c r="E2905" s="113">
        <f>(70.15*3.35)-(2*1*4)-(1.5*1*24)+(0.15*3.35*28)</f>
        <v>205.07250000000002</v>
      </c>
    </row>
    <row r="2906" spans="1:6" ht="45.6">
      <c r="A2906" s="93"/>
      <c r="B2906" s="99"/>
      <c r="C2906" s="104" t="s">
        <v>3227</v>
      </c>
      <c r="D2906" s="99" t="s">
        <v>2616</v>
      </c>
      <c r="E2906" s="113">
        <f>(71.17*1.45)+(71.17*0.5)</f>
        <v>138.78149999999999</v>
      </c>
    </row>
    <row r="2907" spans="1:6" ht="34.200000000000003">
      <c r="A2907" s="93"/>
      <c r="B2907" s="99"/>
      <c r="C2907" s="104" t="s">
        <v>3225</v>
      </c>
      <c r="D2907" s="99" t="s">
        <v>2616</v>
      </c>
      <c r="E2907" s="113">
        <f>(22.9*3.35)-14.1</f>
        <v>62.615000000000002</v>
      </c>
    </row>
    <row r="2908" spans="1:6" ht="45.6">
      <c r="A2908" s="93"/>
      <c r="B2908" s="99"/>
      <c r="C2908" s="104" t="s">
        <v>3903</v>
      </c>
      <c r="D2908" s="99" t="s">
        <v>2616</v>
      </c>
      <c r="E2908" s="113">
        <f>((11.8*2)*1.45)+11.15</f>
        <v>45.37</v>
      </c>
    </row>
    <row r="2909" spans="1:6" ht="45.6">
      <c r="A2909" s="93"/>
      <c r="B2909" s="99"/>
      <c r="C2909" s="104" t="s">
        <v>3361</v>
      </c>
      <c r="D2909" s="99" t="s">
        <v>2616</v>
      </c>
      <c r="E2909" s="113">
        <f xml:space="preserve"> (70.85 + 11.46 + 45 + 4.32 + 45 + 11.46 + 70.85 + 27.28)*(0.15+0.9)</f>
        <v>300.53100000000006</v>
      </c>
    </row>
    <row r="2910" spans="1:6">
      <c r="A2910" s="93"/>
      <c r="B2910" s="99"/>
      <c r="C2910" s="104"/>
      <c r="D2910" s="99"/>
      <c r="E2910" s="113"/>
    </row>
    <row r="2911" spans="1:6" ht="22.8">
      <c r="A2911" s="34"/>
      <c r="B2911" s="56"/>
      <c r="C2911" s="100" t="s">
        <v>3062</v>
      </c>
      <c r="D2911" s="99"/>
      <c r="E2911" s="113"/>
    </row>
    <row r="2912" spans="1:6">
      <c r="A2912" s="93"/>
      <c r="B2912" s="99"/>
      <c r="C2912" s="102" t="s">
        <v>2691</v>
      </c>
      <c r="D2912" s="99" t="s">
        <v>12</v>
      </c>
      <c r="E2912" s="101">
        <v>38.799999999999997</v>
      </c>
    </row>
    <row r="2913" spans="1:5">
      <c r="A2913" s="93"/>
      <c r="B2913" s="99"/>
      <c r="C2913" s="102" t="s">
        <v>2870</v>
      </c>
      <c r="D2913" s="99" t="s">
        <v>12</v>
      </c>
      <c r="E2913" s="101">
        <v>38.799999999999997</v>
      </c>
    </row>
    <row r="2914" spans="1:5">
      <c r="A2914" s="93"/>
      <c r="B2914" s="99"/>
      <c r="C2914" s="102" t="s">
        <v>3079</v>
      </c>
      <c r="D2914" s="99" t="s">
        <v>12</v>
      </c>
      <c r="E2914" s="101">
        <v>38.799999999999997</v>
      </c>
    </row>
    <row r="2915" spans="1:5" ht="22.8">
      <c r="A2915" s="93"/>
      <c r="B2915" s="99"/>
      <c r="C2915" s="102" t="s">
        <v>2693</v>
      </c>
      <c r="D2915" s="99" t="s">
        <v>12</v>
      </c>
      <c r="E2915" s="113">
        <f>54.35+232.74+8.79+8.68+10.54+8.68+8.79+8.79+54.35</f>
        <v>395.71000000000015</v>
      </c>
    </row>
    <row r="2916" spans="1:5" ht="22.8">
      <c r="A2916" s="112"/>
      <c r="B2916" s="108"/>
      <c r="C2916" s="109" t="s">
        <v>3134</v>
      </c>
      <c r="D2916" s="108" t="s">
        <v>12</v>
      </c>
      <c r="E2916" s="113">
        <f>0.9*3</f>
        <v>2.7</v>
      </c>
    </row>
    <row r="2917" spans="1:5">
      <c r="A2917" s="93"/>
      <c r="B2917" s="99"/>
      <c r="C2917" s="104" t="s">
        <v>3079</v>
      </c>
      <c r="D2917" s="108" t="s">
        <v>12</v>
      </c>
      <c r="E2917" s="113">
        <v>78.8</v>
      </c>
    </row>
    <row r="2918" spans="1:5">
      <c r="A2918" s="93"/>
      <c r="B2918" s="99"/>
      <c r="C2918" s="104" t="s">
        <v>3153</v>
      </c>
      <c r="D2918" s="108" t="s">
        <v>12</v>
      </c>
      <c r="E2918" s="113">
        <v>78.8</v>
      </c>
    </row>
    <row r="2919" spans="1:5">
      <c r="A2919" s="93"/>
      <c r="B2919" s="99"/>
      <c r="C2919" s="104" t="s">
        <v>3154</v>
      </c>
      <c r="D2919" s="108" t="s">
        <v>12</v>
      </c>
      <c r="E2919" s="113">
        <v>78.8</v>
      </c>
    </row>
    <row r="2920" spans="1:5">
      <c r="A2920" s="93"/>
      <c r="B2920" s="99"/>
      <c r="C2920" s="104" t="s">
        <v>3155</v>
      </c>
      <c r="D2920" s="108" t="s">
        <v>12</v>
      </c>
      <c r="E2920" s="113">
        <v>78.8</v>
      </c>
    </row>
    <row r="2921" spans="1:5">
      <c r="A2921" s="93"/>
      <c r="B2921" s="99"/>
      <c r="C2921" s="104" t="s">
        <v>3156</v>
      </c>
      <c r="D2921" s="108" t="s">
        <v>12</v>
      </c>
      <c r="E2921" s="113">
        <v>78.8</v>
      </c>
    </row>
    <row r="2922" spans="1:5">
      <c r="A2922" s="93"/>
      <c r="B2922" s="99"/>
      <c r="C2922" s="104" t="s">
        <v>3141</v>
      </c>
      <c r="D2922" s="108" t="s">
        <v>12</v>
      </c>
      <c r="E2922" s="113">
        <v>78.8</v>
      </c>
    </row>
    <row r="2923" spans="1:5">
      <c r="A2923" s="93"/>
      <c r="B2923" s="99"/>
      <c r="C2923" s="104" t="s">
        <v>3161</v>
      </c>
      <c r="D2923" s="108" t="s">
        <v>12</v>
      </c>
      <c r="E2923" s="113">
        <v>15</v>
      </c>
    </row>
    <row r="2924" spans="1:5">
      <c r="A2924" s="93"/>
      <c r="B2924" s="99"/>
      <c r="C2924" s="104" t="s">
        <v>2510</v>
      </c>
      <c r="D2924" s="108" t="s">
        <v>12</v>
      </c>
      <c r="E2924" s="113">
        <v>433.64</v>
      </c>
    </row>
    <row r="2925" spans="1:5">
      <c r="A2925" s="93"/>
      <c r="B2925" s="99"/>
      <c r="C2925" s="104"/>
      <c r="D2925" s="99"/>
      <c r="E2925" s="113"/>
    </row>
    <row r="2926" spans="1:5">
      <c r="A2926" s="93"/>
      <c r="B2926" s="99"/>
      <c r="C2926" s="104" t="s">
        <v>3356</v>
      </c>
      <c r="D2926" s="99"/>
      <c r="E2926" s="113"/>
    </row>
    <row r="2927" spans="1:5" ht="22.8">
      <c r="A2927" s="93"/>
      <c r="B2927" s="99"/>
      <c r="C2927" s="104" t="s">
        <v>3357</v>
      </c>
      <c r="D2927" s="108" t="s">
        <v>12</v>
      </c>
      <c r="E2927" s="113">
        <f>((3*4)*2.6)-(2.5*2.1)</f>
        <v>25.950000000000003</v>
      </c>
    </row>
    <row r="2928" spans="1:5" ht="22.8">
      <c r="A2928" s="93"/>
      <c r="B2928" s="99"/>
      <c r="C2928" s="104" t="s">
        <v>3358</v>
      </c>
      <c r="D2928" s="108" t="s">
        <v>12</v>
      </c>
      <c r="E2928" s="113">
        <f>((3*4)*2.6)-(2.5*2.1)</f>
        <v>25.950000000000003</v>
      </c>
    </row>
    <row r="2929" spans="1:6" ht="22.8">
      <c r="A2929" s="93"/>
      <c r="B2929" s="99"/>
      <c r="C2929" s="104" t="s">
        <v>3359</v>
      </c>
      <c r="D2929" s="108" t="s">
        <v>12</v>
      </c>
      <c r="E2929" s="113">
        <f>(3.4*3.4)+(3.4*3.4)+((3.4*4)*0.1)</f>
        <v>24.479999999999997</v>
      </c>
    </row>
    <row r="2930" spans="1:6">
      <c r="A2930" s="93"/>
      <c r="B2930" s="99"/>
      <c r="C2930" s="104"/>
      <c r="D2930" s="99"/>
      <c r="E2930" s="113"/>
    </row>
    <row r="2931" spans="1:6" hidden="1">
      <c r="A2931" s="43"/>
      <c r="B2931" s="56">
        <v>261002</v>
      </c>
      <c r="C2931" s="83" t="s">
        <v>1882</v>
      </c>
      <c r="D2931" s="56" t="s">
        <v>12</v>
      </c>
      <c r="E2931" s="84"/>
    </row>
    <row r="2932" spans="1:6" hidden="1">
      <c r="A2932" s="43"/>
      <c r="B2932" s="56">
        <v>261003</v>
      </c>
      <c r="C2932" s="83" t="s">
        <v>1883</v>
      </c>
      <c r="D2932" s="56" t="s">
        <v>12</v>
      </c>
      <c r="E2932" s="84"/>
    </row>
    <row r="2933" spans="1:6" hidden="1">
      <c r="A2933" s="43"/>
      <c r="B2933" s="56">
        <v>261005</v>
      </c>
      <c r="C2933" s="83" t="s">
        <v>1884</v>
      </c>
      <c r="D2933" s="56" t="s">
        <v>12</v>
      </c>
      <c r="E2933" s="84"/>
    </row>
    <row r="2934" spans="1:6" hidden="1">
      <c r="A2934" s="43"/>
      <c r="B2934" s="56">
        <v>261006</v>
      </c>
      <c r="C2934" s="83" t="s">
        <v>1885</v>
      </c>
      <c r="D2934" s="56" t="s">
        <v>12</v>
      </c>
      <c r="E2934" s="84"/>
    </row>
    <row r="2935" spans="1:6" hidden="1">
      <c r="A2935" s="43"/>
      <c r="B2935" s="56">
        <v>261008</v>
      </c>
      <c r="C2935" s="83" t="s">
        <v>1886</v>
      </c>
      <c r="D2935" s="56" t="s">
        <v>12</v>
      </c>
      <c r="E2935" s="84"/>
    </row>
    <row r="2936" spans="1:6" hidden="1">
      <c r="A2936" s="43"/>
      <c r="B2936" s="56">
        <v>261009</v>
      </c>
      <c r="C2936" s="83" t="s">
        <v>1887</v>
      </c>
      <c r="D2936" s="56" t="s">
        <v>12</v>
      </c>
      <c r="E2936" s="84"/>
    </row>
    <row r="2937" spans="1:6" hidden="1">
      <c r="A2937" s="43"/>
      <c r="B2937" s="56">
        <v>261010</v>
      </c>
      <c r="C2937" s="83" t="s">
        <v>1888</v>
      </c>
      <c r="D2937" s="56" t="s">
        <v>12</v>
      </c>
      <c r="E2937" s="84"/>
    </row>
    <row r="2938" spans="1:6">
      <c r="A2938" s="91" t="s">
        <v>3654</v>
      </c>
      <c r="B2938" s="56">
        <v>261300</v>
      </c>
      <c r="C2938" s="83" t="s">
        <v>1889</v>
      </c>
      <c r="D2938" s="56" t="s">
        <v>12</v>
      </c>
      <c r="E2938" s="84">
        <f>ROUND(SUM(E2940:E3010),2)</f>
        <v>1963.55</v>
      </c>
      <c r="F2938" s="166"/>
    </row>
    <row r="2939" spans="1:6">
      <c r="A2939" s="34"/>
      <c r="B2939" s="56"/>
      <c r="C2939" s="100" t="s">
        <v>2688</v>
      </c>
      <c r="D2939" s="56"/>
      <c r="E2939" s="74"/>
      <c r="F2939" s="171"/>
    </row>
    <row r="2940" spans="1:6" ht="22.8">
      <c r="A2940" s="34"/>
      <c r="B2940" s="56"/>
      <c r="C2940" s="104" t="s">
        <v>2686</v>
      </c>
      <c r="D2940" s="99" t="s">
        <v>12</v>
      </c>
      <c r="E2940" s="113">
        <f>1*2.1*2</f>
        <v>4.2</v>
      </c>
    </row>
    <row r="2941" spans="1:6" ht="22.8">
      <c r="A2941" s="34"/>
      <c r="B2941" s="56"/>
      <c r="C2941" s="104" t="s">
        <v>2685</v>
      </c>
      <c r="D2941" s="99" t="s">
        <v>12</v>
      </c>
      <c r="E2941" s="113">
        <f>3*1*2</f>
        <v>6</v>
      </c>
    </row>
    <row r="2942" spans="1:6" ht="34.200000000000003">
      <c r="A2942" s="34"/>
      <c r="B2942" s="56"/>
      <c r="C2942" s="104" t="s">
        <v>3077</v>
      </c>
      <c r="D2942" s="99" t="s">
        <v>12</v>
      </c>
      <c r="E2942" s="113">
        <f>1.64*2</f>
        <v>3.28</v>
      </c>
    </row>
    <row r="2943" spans="1:6">
      <c r="A2943" s="34"/>
      <c r="B2943" s="56"/>
      <c r="C2943" s="104" t="s">
        <v>3081</v>
      </c>
      <c r="D2943" s="99" t="s">
        <v>12</v>
      </c>
      <c r="E2943" s="113">
        <f>8*3*2</f>
        <v>48</v>
      </c>
    </row>
    <row r="2944" spans="1:6" ht="22.8">
      <c r="A2944" s="34"/>
      <c r="B2944" s="56"/>
      <c r="C2944" s="104" t="s">
        <v>3068</v>
      </c>
      <c r="D2944" s="99" t="s">
        <v>12</v>
      </c>
      <c r="E2944" s="113">
        <f>2*1*2</f>
        <v>4</v>
      </c>
    </row>
    <row r="2945" spans="1:5" hidden="1">
      <c r="A2945" s="34"/>
      <c r="B2945" s="56"/>
      <c r="C2945" s="104"/>
      <c r="D2945" s="99"/>
      <c r="E2945" s="113"/>
    </row>
    <row r="2946" spans="1:5" ht="22.8">
      <c r="A2946" s="34"/>
      <c r="B2946" s="56"/>
      <c r="C2946" s="104" t="s">
        <v>3366</v>
      </c>
      <c r="D2946" s="99" t="s">
        <v>12</v>
      </c>
      <c r="E2946" s="113">
        <f>(PI())*(0.5^2)/4</f>
        <v>0.19634954084936207</v>
      </c>
    </row>
    <row r="2947" spans="1:5" hidden="1">
      <c r="A2947" s="34"/>
      <c r="B2947" s="56"/>
      <c r="C2947" s="104"/>
      <c r="D2947" s="99"/>
      <c r="E2947" s="113"/>
    </row>
    <row r="2948" spans="1:5" ht="22.8">
      <c r="A2948" s="34"/>
      <c r="B2948" s="56"/>
      <c r="C2948" s="104" t="s">
        <v>2630</v>
      </c>
      <c r="D2948" s="99" t="s">
        <v>12</v>
      </c>
      <c r="E2948" s="113">
        <f>(2.1+1+2.1)*0.15</f>
        <v>0.78</v>
      </c>
    </row>
    <row r="2949" spans="1:5" ht="22.8">
      <c r="A2949" s="34"/>
      <c r="B2949" s="56"/>
      <c r="C2949" s="104" t="s">
        <v>2631</v>
      </c>
      <c r="D2949" s="99" t="s">
        <v>12</v>
      </c>
      <c r="E2949" s="113">
        <f>(2.1+1+2.1)*0.15</f>
        <v>0.78</v>
      </c>
    </row>
    <row r="2950" spans="1:5" hidden="1">
      <c r="A2950" s="34"/>
      <c r="B2950" s="56"/>
      <c r="C2950" s="104"/>
      <c r="D2950" s="99"/>
      <c r="E2950" s="113"/>
    </row>
    <row r="2951" spans="1:5" ht="22.8">
      <c r="A2951" s="34"/>
      <c r="B2951" s="56"/>
      <c r="C2951" s="104" t="s">
        <v>2632</v>
      </c>
      <c r="D2951" s="99" t="s">
        <v>12</v>
      </c>
      <c r="E2951" s="113">
        <f>(2.1+1+2.1)*0.15</f>
        <v>0.78</v>
      </c>
    </row>
    <row r="2952" spans="1:5" ht="22.8">
      <c r="A2952" s="34"/>
      <c r="B2952" s="56"/>
      <c r="C2952" s="104" t="s">
        <v>2633</v>
      </c>
      <c r="D2952" s="99" t="s">
        <v>12</v>
      </c>
      <c r="E2952" s="113">
        <f>(2.1+1+2.1)*0.15</f>
        <v>0.78</v>
      </c>
    </row>
    <row r="2953" spans="1:5" hidden="1">
      <c r="A2953" s="34"/>
      <c r="B2953" s="56"/>
      <c r="C2953" s="104"/>
      <c r="D2953" s="99"/>
      <c r="E2953" s="113"/>
    </row>
    <row r="2954" spans="1:5" ht="34.200000000000003">
      <c r="A2954" s="34"/>
      <c r="B2954" s="56"/>
      <c r="C2954" s="104" t="s">
        <v>3069</v>
      </c>
      <c r="D2954" s="99" t="s">
        <v>12</v>
      </c>
      <c r="E2954" s="113">
        <f>6*0.15</f>
        <v>0.89999999999999991</v>
      </c>
    </row>
    <row r="2955" spans="1:5" ht="34.200000000000003">
      <c r="A2955" s="34"/>
      <c r="B2955" s="56"/>
      <c r="C2955" s="104" t="s">
        <v>3145</v>
      </c>
      <c r="D2955" s="99" t="s">
        <v>12</v>
      </c>
      <c r="E2955" s="113">
        <f>(((1.5+1+1.5+1)*3)+((2+2+1+1)*2))*0.15</f>
        <v>4.05</v>
      </c>
    </row>
    <row r="2956" spans="1:5" ht="22.8">
      <c r="A2956" s="34"/>
      <c r="B2956" s="56"/>
      <c r="C2956" s="104" t="s">
        <v>3146</v>
      </c>
      <c r="D2956" s="99" t="s">
        <v>12</v>
      </c>
      <c r="E2956" s="113">
        <f>6*0.15</f>
        <v>0.89999999999999991</v>
      </c>
    </row>
    <row r="2957" spans="1:5" ht="34.200000000000003">
      <c r="A2957" s="34"/>
      <c r="B2957" s="56"/>
      <c r="C2957" s="104" t="s">
        <v>3098</v>
      </c>
      <c r="D2957" s="99" t="s">
        <v>12</v>
      </c>
      <c r="E2957" s="113">
        <f>0.72*2</f>
        <v>1.44</v>
      </c>
    </row>
    <row r="2958" spans="1:5" ht="34.200000000000003">
      <c r="A2958" s="34"/>
      <c r="B2958" s="56"/>
      <c r="C2958" s="104" t="s">
        <v>3099</v>
      </c>
      <c r="D2958" s="99" t="s">
        <v>12</v>
      </c>
      <c r="E2958" s="113">
        <f>31.8*0.15</f>
        <v>4.7699999999999996</v>
      </c>
    </row>
    <row r="2959" spans="1:5" ht="22.8">
      <c r="A2959" s="34"/>
      <c r="B2959" s="56"/>
      <c r="C2959" s="104" t="s">
        <v>3100</v>
      </c>
      <c r="D2959" s="99" t="s">
        <v>12</v>
      </c>
      <c r="E2959" s="113">
        <f>(0.15+0.15+0.15+0.15)*3</f>
        <v>1.7999999999999998</v>
      </c>
    </row>
    <row r="2960" spans="1:5" ht="34.200000000000003">
      <c r="A2960" s="34"/>
      <c r="B2960" s="56"/>
      <c r="C2960" s="104" t="s">
        <v>3363</v>
      </c>
      <c r="D2960" s="99" t="s">
        <v>12</v>
      </c>
      <c r="E2960" s="113">
        <f>29.3*0.15</f>
        <v>4.3949999999999996</v>
      </c>
    </row>
    <row r="2961" spans="1:6" ht="22.8">
      <c r="A2961" s="34"/>
      <c r="B2961" s="56"/>
      <c r="C2961" s="104" t="s">
        <v>3102</v>
      </c>
      <c r="D2961" s="99" t="s">
        <v>12</v>
      </c>
      <c r="E2961" s="113">
        <f>(0.15+0.15+0.15+0.15)*3</f>
        <v>1.7999999999999998</v>
      </c>
    </row>
    <row r="2962" spans="1:6" ht="34.200000000000003">
      <c r="A2962" s="34"/>
      <c r="B2962" s="56"/>
      <c r="C2962" s="104" t="s">
        <v>3104</v>
      </c>
      <c r="D2962" s="99" t="s">
        <v>12</v>
      </c>
      <c r="E2962" s="113">
        <f>29.3*0.15</f>
        <v>4.3949999999999996</v>
      </c>
    </row>
    <row r="2963" spans="1:6" ht="22.8">
      <c r="A2963" s="34"/>
      <c r="B2963" s="56"/>
      <c r="C2963" s="104" t="s">
        <v>3107</v>
      </c>
      <c r="D2963" s="99" t="s">
        <v>12</v>
      </c>
      <c r="E2963" s="113">
        <f>(0.15+0.15+0.15+0.15+0.15+0.15)*3</f>
        <v>2.7</v>
      </c>
    </row>
    <row r="2964" spans="1:6" ht="34.200000000000003">
      <c r="A2964" s="34"/>
      <c r="B2964" s="56"/>
      <c r="C2964" s="104" t="s">
        <v>3109</v>
      </c>
      <c r="D2964" s="99" t="s">
        <v>12</v>
      </c>
      <c r="E2964" s="113">
        <f>29.3*0.15</f>
        <v>4.3949999999999996</v>
      </c>
    </row>
    <row r="2965" spans="1:6" ht="22.8">
      <c r="A2965" s="34"/>
      <c r="B2965" s="56"/>
      <c r="C2965" s="104" t="s">
        <v>3364</v>
      </c>
      <c r="D2965" s="99" t="s">
        <v>12</v>
      </c>
      <c r="E2965" s="113">
        <f>(0.15+0.15+0.15+0.15)*3</f>
        <v>1.7999999999999998</v>
      </c>
    </row>
    <row r="2966" spans="1:6" ht="34.200000000000003">
      <c r="A2966" s="34"/>
      <c r="B2966" s="56"/>
      <c r="C2966" s="104" t="s">
        <v>3112</v>
      </c>
      <c r="D2966" s="99" t="s">
        <v>12</v>
      </c>
      <c r="E2966" s="113">
        <f>0.72*2</f>
        <v>1.44</v>
      </c>
    </row>
    <row r="2967" spans="1:6" ht="34.200000000000003">
      <c r="A2967" s="34"/>
      <c r="B2967" s="56"/>
      <c r="C2967" s="104" t="s">
        <v>3367</v>
      </c>
      <c r="D2967" s="99" t="s">
        <v>12</v>
      </c>
      <c r="E2967" s="113">
        <f>0.9*2</f>
        <v>1.8</v>
      </c>
    </row>
    <row r="2968" spans="1:6" ht="34.200000000000003">
      <c r="A2968" s="34"/>
      <c r="B2968" s="56"/>
      <c r="C2968" s="104" t="s">
        <v>3294</v>
      </c>
      <c r="D2968" s="99" t="s">
        <v>12</v>
      </c>
      <c r="E2968" s="113">
        <f>0.15*0.3</f>
        <v>4.4999999999999998E-2</v>
      </c>
    </row>
    <row r="2969" spans="1:6" ht="45.6">
      <c r="A2969" s="34"/>
      <c r="B2969" s="56"/>
      <c r="C2969" s="104" t="s">
        <v>3295</v>
      </c>
      <c r="D2969" s="99" t="s">
        <v>12</v>
      </c>
      <c r="E2969" s="113">
        <f>0.15*16</f>
        <v>2.4</v>
      </c>
    </row>
    <row r="2970" spans="1:6">
      <c r="A2970" s="43"/>
      <c r="B2970" s="56"/>
      <c r="C2970" s="83"/>
      <c r="D2970" s="56"/>
      <c r="E2970" s="84"/>
    </row>
    <row r="2971" spans="1:6" ht="22.8">
      <c r="A2971" s="34"/>
      <c r="B2971" s="56"/>
      <c r="C2971" s="100" t="s">
        <v>2753</v>
      </c>
      <c r="D2971" s="99"/>
      <c r="E2971" s="101"/>
    </row>
    <row r="2972" spans="1:6" ht="34.799999999999997">
      <c r="A2972" s="34"/>
      <c r="B2972" s="56"/>
      <c r="C2972" s="102" t="s">
        <v>2756</v>
      </c>
      <c r="D2972" s="99" t="s">
        <v>2616</v>
      </c>
      <c r="E2972" s="101">
        <f>3*0.3</f>
        <v>0.89999999999999991</v>
      </c>
    </row>
    <row r="2973" spans="1:6" ht="34.799999999999997">
      <c r="A2973" s="34"/>
      <c r="B2973" s="56"/>
      <c r="C2973" s="102" t="s">
        <v>3487</v>
      </c>
      <c r="D2973" s="99" t="s">
        <v>2616</v>
      </c>
      <c r="E2973" s="101">
        <f>3*0.3</f>
        <v>0.89999999999999991</v>
      </c>
    </row>
    <row r="2974" spans="1:6">
      <c r="A2974" s="34"/>
      <c r="B2974" s="56"/>
      <c r="C2974" s="102"/>
      <c r="D2974" s="99"/>
      <c r="E2974" s="113"/>
    </row>
    <row r="2975" spans="1:6" ht="22.8">
      <c r="A2975" s="34"/>
      <c r="B2975" s="56"/>
      <c r="C2975" s="100" t="s">
        <v>2758</v>
      </c>
      <c r="D2975" s="99"/>
      <c r="E2975" s="113"/>
    </row>
    <row r="2976" spans="1:6" s="47" customFormat="1" ht="12">
      <c r="A2976" s="93"/>
      <c r="B2976" s="99"/>
      <c r="C2976" s="102" t="s">
        <v>2691</v>
      </c>
      <c r="D2976" s="99" t="s">
        <v>12</v>
      </c>
      <c r="E2976" s="101">
        <v>38.799999999999997</v>
      </c>
      <c r="F2976" s="163"/>
    </row>
    <row r="2977" spans="1:6" s="47" customFormat="1" ht="12">
      <c r="A2977" s="93"/>
      <c r="B2977" s="99"/>
      <c r="C2977" s="102" t="s">
        <v>2509</v>
      </c>
      <c r="D2977" s="99" t="s">
        <v>12</v>
      </c>
      <c r="E2977" s="101">
        <v>38.799999999999997</v>
      </c>
      <c r="F2977" s="163"/>
    </row>
    <row r="2978" spans="1:6" s="47" customFormat="1" ht="12">
      <c r="A2978" s="93"/>
      <c r="B2978" s="99"/>
      <c r="C2978" s="102" t="s">
        <v>2690</v>
      </c>
      <c r="D2978" s="99" t="s">
        <v>12</v>
      </c>
      <c r="E2978" s="101">
        <v>38.799999999999997</v>
      </c>
      <c r="F2978" s="163"/>
    </row>
    <row r="2979" spans="1:6" s="47" customFormat="1" ht="12">
      <c r="A2979" s="93"/>
      <c r="B2979" s="99"/>
      <c r="C2979" s="102" t="s">
        <v>2692</v>
      </c>
      <c r="D2979" s="99" t="s">
        <v>12</v>
      </c>
      <c r="E2979" s="101">
        <v>38.799999999999997</v>
      </c>
      <c r="F2979" s="163"/>
    </row>
    <row r="2980" spans="1:6" s="47" customFormat="1" ht="22.8">
      <c r="A2980" s="93"/>
      <c r="B2980" s="99"/>
      <c r="C2980" s="102" t="s">
        <v>2693</v>
      </c>
      <c r="D2980" s="99" t="s">
        <v>12</v>
      </c>
      <c r="E2980" s="101">
        <f>54.35+232.74+8.79+8.68+10.54+8.68+8.79+8.79+54.35</f>
        <v>395.71000000000015</v>
      </c>
      <c r="F2980" s="163"/>
    </row>
    <row r="2981" spans="1:6" s="47" customFormat="1" ht="12">
      <c r="A2981" s="93"/>
      <c r="B2981" s="99"/>
      <c r="C2981" s="102" t="s">
        <v>2694</v>
      </c>
      <c r="D2981" s="99" t="s">
        <v>12</v>
      </c>
      <c r="E2981" s="101">
        <v>433.64</v>
      </c>
      <c r="F2981" s="163"/>
    </row>
    <row r="2982" spans="1:6" s="47" customFormat="1" ht="12">
      <c r="A2982" s="93"/>
      <c r="B2982" s="99"/>
      <c r="C2982" s="102" t="s">
        <v>2695</v>
      </c>
      <c r="D2982" s="99" t="s">
        <v>12</v>
      </c>
      <c r="E2982" s="101">
        <v>15</v>
      </c>
      <c r="F2982" s="163"/>
    </row>
    <row r="2983" spans="1:6" s="47" customFormat="1" ht="12">
      <c r="A2983" s="93"/>
      <c r="B2983" s="99"/>
      <c r="C2983" s="102" t="s">
        <v>2696</v>
      </c>
      <c r="D2983" s="99" t="s">
        <v>12</v>
      </c>
      <c r="E2983" s="101">
        <v>78.8</v>
      </c>
      <c r="F2983" s="163"/>
    </row>
    <row r="2984" spans="1:6" s="47" customFormat="1" ht="12">
      <c r="A2984" s="93"/>
      <c r="B2984" s="99"/>
      <c r="C2984" s="102" t="s">
        <v>2697</v>
      </c>
      <c r="D2984" s="99" t="s">
        <v>12</v>
      </c>
      <c r="E2984" s="101">
        <v>78.8</v>
      </c>
      <c r="F2984" s="163"/>
    </row>
    <row r="2985" spans="1:6" s="47" customFormat="1" ht="12">
      <c r="A2985" s="93"/>
      <c r="B2985" s="99"/>
      <c r="C2985" s="102" t="s">
        <v>2698</v>
      </c>
      <c r="D2985" s="99" t="s">
        <v>12</v>
      </c>
      <c r="E2985" s="101">
        <v>78.8</v>
      </c>
      <c r="F2985" s="163"/>
    </row>
    <row r="2986" spans="1:6" s="47" customFormat="1" ht="12">
      <c r="A2986" s="93"/>
      <c r="B2986" s="99"/>
      <c r="C2986" s="102" t="s">
        <v>2699</v>
      </c>
      <c r="D2986" s="99" t="s">
        <v>12</v>
      </c>
      <c r="E2986" s="101">
        <v>78.8</v>
      </c>
      <c r="F2986" s="163"/>
    </row>
    <row r="2987" spans="1:6" s="47" customFormat="1" ht="12">
      <c r="A2987" s="93"/>
      <c r="B2987" s="99"/>
      <c r="C2987" s="102" t="s">
        <v>2700</v>
      </c>
      <c r="D2987" s="99" t="s">
        <v>12</v>
      </c>
      <c r="E2987" s="101">
        <v>78.8</v>
      </c>
      <c r="F2987" s="163"/>
    </row>
    <row r="2988" spans="1:6" s="47" customFormat="1" ht="12">
      <c r="A2988" s="93"/>
      <c r="B2988" s="99"/>
      <c r="C2988" s="102" t="s">
        <v>2701</v>
      </c>
      <c r="D2988" s="99" t="s">
        <v>12</v>
      </c>
      <c r="E2988" s="101">
        <v>78.8</v>
      </c>
      <c r="F2988" s="163"/>
    </row>
    <row r="2989" spans="1:6">
      <c r="A2989" s="112"/>
      <c r="B2989" s="99"/>
      <c r="C2989" s="104" t="s">
        <v>2702</v>
      </c>
      <c r="D2989" s="99" t="s">
        <v>12</v>
      </c>
      <c r="E2989" s="113">
        <v>47.66</v>
      </c>
    </row>
    <row r="2990" spans="1:6">
      <c r="A2990" s="112"/>
      <c r="B2990" s="99"/>
      <c r="C2990" s="104" t="s">
        <v>2703</v>
      </c>
      <c r="D2990" s="99" t="s">
        <v>12</v>
      </c>
      <c r="E2990" s="113">
        <v>47.66</v>
      </c>
    </row>
    <row r="2991" spans="1:6">
      <c r="A2991" s="112"/>
      <c r="B2991" s="99"/>
      <c r="C2991" s="104" t="s">
        <v>2524</v>
      </c>
      <c r="D2991" s="99" t="s">
        <v>12</v>
      </c>
      <c r="E2991" s="113">
        <v>5.0999999999999996</v>
      </c>
    </row>
    <row r="2992" spans="1:6">
      <c r="A2992" s="34"/>
      <c r="B2992" s="56"/>
      <c r="C2992" s="83"/>
      <c r="D2992" s="56"/>
      <c r="E2992" s="84"/>
    </row>
    <row r="2993" spans="1:5" ht="34.200000000000003">
      <c r="A2993" s="112"/>
      <c r="B2993" s="99"/>
      <c r="C2993" s="104" t="s">
        <v>2757</v>
      </c>
      <c r="D2993" s="99" t="s">
        <v>2616</v>
      </c>
      <c r="E2993" s="113">
        <f>2.2*0.3</f>
        <v>0.66</v>
      </c>
    </row>
    <row r="2994" spans="1:5">
      <c r="A2994" s="43"/>
      <c r="B2994" s="56"/>
      <c r="C2994" s="83"/>
      <c r="D2994" s="56"/>
      <c r="E2994" s="84"/>
    </row>
    <row r="2995" spans="1:5">
      <c r="A2995" s="43"/>
      <c r="B2995" s="56"/>
      <c r="C2995" s="100" t="s">
        <v>2634</v>
      </c>
      <c r="D2995" s="56"/>
      <c r="E2995" s="84"/>
    </row>
    <row r="2996" spans="1:5" ht="22.8">
      <c r="A2996" s="112"/>
      <c r="B2996" s="108"/>
      <c r="C2996" s="109" t="s">
        <v>3125</v>
      </c>
      <c r="D2996" s="108" t="s">
        <v>12</v>
      </c>
      <c r="E2996" s="113">
        <f>2.95*0.8*2</f>
        <v>4.7200000000000006</v>
      </c>
    </row>
    <row r="2997" spans="1:5" ht="22.8">
      <c r="A2997" s="112"/>
      <c r="B2997" s="108"/>
      <c r="C2997" s="109" t="s">
        <v>3126</v>
      </c>
      <c r="D2997" s="108" t="s">
        <v>12</v>
      </c>
      <c r="E2997" s="113">
        <f>2.95*0.8*2</f>
        <v>4.7200000000000006</v>
      </c>
    </row>
    <row r="2998" spans="1:5" hidden="1">
      <c r="A2998" s="112"/>
      <c r="B2998" s="108"/>
      <c r="C2998" s="109"/>
      <c r="D2998" s="108"/>
      <c r="E2998" s="113"/>
    </row>
    <row r="2999" spans="1:5" ht="22.8">
      <c r="A2999" s="112"/>
      <c r="B2999" s="108"/>
      <c r="C2999" s="109" t="s">
        <v>3134</v>
      </c>
      <c r="D2999" s="108" t="s">
        <v>12</v>
      </c>
      <c r="E2999" s="113">
        <f>0.9*3</f>
        <v>2.7</v>
      </c>
    </row>
    <row r="3000" spans="1:5" ht="57">
      <c r="A3000" s="112"/>
      <c r="B3000" s="108"/>
      <c r="C3000" s="109" t="s">
        <v>3309</v>
      </c>
      <c r="D3000" s="108" t="s">
        <v>12</v>
      </c>
      <c r="E3000" s="113">
        <f xml:space="preserve"> ((9.85 + 9.85 + 8 + 8)*3)-14.1</f>
        <v>93.000000000000014</v>
      </c>
    </row>
    <row r="3001" spans="1:5" ht="34.200000000000003">
      <c r="A3001" s="112"/>
      <c r="B3001" s="108"/>
      <c r="C3001" s="109" t="s">
        <v>3310</v>
      </c>
      <c r="D3001" s="108" t="s">
        <v>12</v>
      </c>
      <c r="E3001" s="113">
        <f>(10.85*3)-6</f>
        <v>26.549999999999997</v>
      </c>
    </row>
    <row r="3002" spans="1:5">
      <c r="A3002" s="112"/>
      <c r="B3002" s="108"/>
      <c r="C3002" s="109"/>
      <c r="D3002" s="108"/>
      <c r="E3002" s="113"/>
    </row>
    <row r="3003" spans="1:5" ht="34.200000000000003">
      <c r="A3003" s="112"/>
      <c r="B3003" s="108"/>
      <c r="C3003" s="109" t="s">
        <v>3724</v>
      </c>
      <c r="D3003" s="108"/>
      <c r="E3003" s="113"/>
    </row>
    <row r="3004" spans="1:5">
      <c r="A3004" s="112"/>
      <c r="B3004" s="108"/>
      <c r="C3004" s="109" t="s">
        <v>3725</v>
      </c>
      <c r="D3004" s="108"/>
      <c r="E3004" s="113"/>
    </row>
    <row r="3005" spans="1:5">
      <c r="A3005" s="112"/>
      <c r="B3005" s="108"/>
      <c r="C3005" s="109" t="s">
        <v>3726</v>
      </c>
      <c r="D3005" s="108" t="s">
        <v>12</v>
      </c>
      <c r="E3005" s="113">
        <f>8*3.1</f>
        <v>24.8</v>
      </c>
    </row>
    <row r="3006" spans="1:5">
      <c r="A3006" s="112"/>
      <c r="B3006" s="108"/>
      <c r="C3006" s="109" t="s">
        <v>3727</v>
      </c>
      <c r="D3006" s="108" t="s">
        <v>12</v>
      </c>
      <c r="E3006" s="113">
        <f t="shared" ref="E3006:E3010" si="1">8*3.1</f>
        <v>24.8</v>
      </c>
    </row>
    <row r="3007" spans="1:5">
      <c r="A3007" s="112"/>
      <c r="B3007" s="108"/>
      <c r="C3007" s="109" t="s">
        <v>3728</v>
      </c>
      <c r="D3007" s="108" t="s">
        <v>12</v>
      </c>
      <c r="E3007" s="113">
        <f t="shared" si="1"/>
        <v>24.8</v>
      </c>
    </row>
    <row r="3008" spans="1:5">
      <c r="A3008" s="112"/>
      <c r="B3008" s="108"/>
      <c r="C3008" s="109" t="s">
        <v>3729</v>
      </c>
      <c r="D3008" s="108" t="s">
        <v>12</v>
      </c>
      <c r="E3008" s="113">
        <f t="shared" si="1"/>
        <v>24.8</v>
      </c>
    </row>
    <row r="3009" spans="1:6">
      <c r="A3009" s="112"/>
      <c r="B3009" s="108"/>
      <c r="C3009" s="109" t="s">
        <v>3730</v>
      </c>
      <c r="D3009" s="108" t="s">
        <v>12</v>
      </c>
      <c r="E3009" s="113">
        <f t="shared" si="1"/>
        <v>24.8</v>
      </c>
    </row>
    <row r="3010" spans="1:6">
      <c r="A3010" s="112"/>
      <c r="B3010" s="108"/>
      <c r="C3010" s="109" t="s">
        <v>3731</v>
      </c>
      <c r="D3010" s="108" t="s">
        <v>12</v>
      </c>
      <c r="E3010" s="113">
        <f t="shared" si="1"/>
        <v>24.8</v>
      </c>
    </row>
    <row r="3011" spans="1:6">
      <c r="A3011" s="43"/>
      <c r="B3011" s="56"/>
      <c r="C3011" s="83"/>
      <c r="D3011" s="56"/>
      <c r="E3011" s="84"/>
      <c r="F3011" s="166"/>
    </row>
    <row r="3012" spans="1:6" hidden="1">
      <c r="A3012" s="43"/>
      <c r="B3012" s="56">
        <v>261301</v>
      </c>
      <c r="C3012" s="83" t="s">
        <v>1890</v>
      </c>
      <c r="D3012" s="56" t="s">
        <v>12</v>
      </c>
      <c r="E3012" s="84"/>
    </row>
    <row r="3013" spans="1:6" hidden="1">
      <c r="A3013" s="43"/>
      <c r="B3013" s="56">
        <v>261302</v>
      </c>
      <c r="C3013" s="83" t="s">
        <v>1891</v>
      </c>
      <c r="D3013" s="56" t="s">
        <v>12</v>
      </c>
      <c r="E3013" s="84"/>
    </row>
    <row r="3014" spans="1:6" hidden="1">
      <c r="A3014" s="43"/>
      <c r="B3014" s="56">
        <v>261303</v>
      </c>
      <c r="C3014" s="83" t="s">
        <v>1892</v>
      </c>
      <c r="D3014" s="56" t="s">
        <v>12</v>
      </c>
      <c r="E3014" s="84"/>
    </row>
    <row r="3015" spans="1:6" hidden="1">
      <c r="A3015" s="43"/>
      <c r="B3015" s="56">
        <v>261304</v>
      </c>
      <c r="C3015" s="83" t="s">
        <v>1893</v>
      </c>
      <c r="D3015" s="56" t="s">
        <v>12</v>
      </c>
      <c r="E3015" s="84"/>
    </row>
    <row r="3016" spans="1:6" hidden="1">
      <c r="A3016" s="43"/>
      <c r="B3016" s="56">
        <v>261305</v>
      </c>
      <c r="C3016" s="83" t="s">
        <v>1894</v>
      </c>
      <c r="D3016" s="56" t="s">
        <v>12</v>
      </c>
      <c r="E3016" s="84"/>
    </row>
    <row r="3017" spans="1:6" hidden="1">
      <c r="A3017" s="43"/>
      <c r="B3017" s="56">
        <v>261306</v>
      </c>
      <c r="C3017" s="83" t="s">
        <v>1895</v>
      </c>
      <c r="D3017" s="56" t="s">
        <v>12</v>
      </c>
      <c r="E3017" s="84"/>
    </row>
    <row r="3018" spans="1:6" hidden="1">
      <c r="A3018" s="43"/>
      <c r="B3018" s="56">
        <v>261307</v>
      </c>
      <c r="C3018" s="83" t="s">
        <v>1896</v>
      </c>
      <c r="D3018" s="56" t="s">
        <v>12</v>
      </c>
      <c r="E3018" s="84"/>
    </row>
    <row r="3019" spans="1:6" hidden="1">
      <c r="A3019" s="43"/>
      <c r="B3019" s="56">
        <v>261308</v>
      </c>
      <c r="C3019" s="83" t="s">
        <v>1897</v>
      </c>
      <c r="D3019" s="56" t="s">
        <v>12</v>
      </c>
      <c r="E3019" s="84"/>
    </row>
    <row r="3020" spans="1:6" hidden="1">
      <c r="A3020" s="43"/>
      <c r="B3020" s="56">
        <v>261401</v>
      </c>
      <c r="C3020" s="83" t="s">
        <v>1898</v>
      </c>
      <c r="D3020" s="56" t="s">
        <v>12</v>
      </c>
      <c r="E3020" s="84"/>
    </row>
    <row r="3021" spans="1:6" hidden="1">
      <c r="A3021" s="43"/>
      <c r="B3021" s="56">
        <v>261501</v>
      </c>
      <c r="C3021" s="83" t="s">
        <v>1899</v>
      </c>
      <c r="D3021" s="56" t="s">
        <v>12</v>
      </c>
      <c r="E3021" s="84"/>
    </row>
    <row r="3022" spans="1:6" hidden="1">
      <c r="A3022" s="43"/>
      <c r="B3022" s="56">
        <v>261502</v>
      </c>
      <c r="C3022" s="83" t="s">
        <v>1900</v>
      </c>
      <c r="D3022" s="56" t="s">
        <v>12</v>
      </c>
      <c r="E3022" s="84"/>
    </row>
    <row r="3023" spans="1:6" ht="26.4">
      <c r="A3023" s="91" t="s">
        <v>3671</v>
      </c>
      <c r="B3023" s="56">
        <v>261503</v>
      </c>
      <c r="C3023" s="83" t="s">
        <v>1901</v>
      </c>
      <c r="D3023" s="56" t="s">
        <v>12</v>
      </c>
      <c r="E3023" s="84">
        <f>ROUND((SUM(E3024:E3027)),2)</f>
        <v>8.6300000000000008</v>
      </c>
    </row>
    <row r="3024" spans="1:6" ht="34.200000000000003">
      <c r="A3024" s="43"/>
      <c r="B3024" s="56"/>
      <c r="C3024" s="104" t="s">
        <v>3319</v>
      </c>
      <c r="D3024" s="99" t="s">
        <v>12</v>
      </c>
      <c r="E3024" s="113">
        <f>2*3.14*(0.065/2)*6</f>
        <v>1.2246000000000001</v>
      </c>
    </row>
    <row r="3025" spans="1:6" ht="22.8">
      <c r="A3025" s="43"/>
      <c r="B3025" s="56"/>
      <c r="C3025" s="104" t="s">
        <v>3312</v>
      </c>
      <c r="D3025" s="99" t="s">
        <v>12</v>
      </c>
      <c r="E3025" s="113">
        <f>0.9*0.6*3</f>
        <v>1.62</v>
      </c>
    </row>
    <row r="3026" spans="1:6" ht="22.8">
      <c r="A3026" s="43"/>
      <c r="B3026" s="56"/>
      <c r="C3026" s="104" t="s">
        <v>3313</v>
      </c>
      <c r="D3026" s="99" t="s">
        <v>12</v>
      </c>
      <c r="E3026" s="113">
        <f>0.9*0.6</f>
        <v>0.54</v>
      </c>
    </row>
    <row r="3027" spans="1:6">
      <c r="A3027" s="43"/>
      <c r="B3027" s="56"/>
      <c r="C3027" s="104" t="s">
        <v>3904</v>
      </c>
      <c r="D3027" s="99" t="s">
        <v>12</v>
      </c>
      <c r="E3027" s="113">
        <f>2.5*2.1</f>
        <v>5.25</v>
      </c>
    </row>
    <row r="3028" spans="1:6">
      <c r="A3028" s="43"/>
      <c r="B3028" s="56"/>
      <c r="C3028" s="83"/>
      <c r="D3028" s="56"/>
      <c r="E3028" s="84"/>
    </row>
    <row r="3029" spans="1:6" ht="26.4" hidden="1">
      <c r="A3029" s="43"/>
      <c r="B3029" s="56">
        <v>261504</v>
      </c>
      <c r="C3029" s="83" t="s">
        <v>1902</v>
      </c>
      <c r="D3029" s="56" t="s">
        <v>12</v>
      </c>
      <c r="E3029" s="84"/>
    </row>
    <row r="3030" spans="1:6" hidden="1">
      <c r="A3030" s="43"/>
      <c r="B3030" s="56"/>
      <c r="C3030" s="104"/>
      <c r="D3030" s="99"/>
      <c r="E3030" s="113"/>
    </row>
    <row r="3031" spans="1:6" hidden="1">
      <c r="A3031" s="43"/>
      <c r="B3031" s="56"/>
      <c r="C3031" s="104"/>
      <c r="D3031" s="99"/>
      <c r="E3031" s="113"/>
    </row>
    <row r="3032" spans="1:6" hidden="1">
      <c r="A3032" s="43"/>
      <c r="B3032" s="56"/>
      <c r="C3032" s="83"/>
      <c r="D3032" s="56"/>
      <c r="E3032" s="84"/>
    </row>
    <row r="3033" spans="1:6" hidden="1">
      <c r="A3033" s="43"/>
      <c r="B3033" s="56">
        <v>261548</v>
      </c>
      <c r="C3033" s="83" t="s">
        <v>1903</v>
      </c>
      <c r="D3033" s="56" t="s">
        <v>12</v>
      </c>
      <c r="E3033" s="84"/>
    </row>
    <row r="3034" spans="1:6" ht="26.4">
      <c r="A3034" s="91" t="s">
        <v>3672</v>
      </c>
      <c r="B3034" s="56">
        <v>261550</v>
      </c>
      <c r="C3034" s="83" t="s">
        <v>1904</v>
      </c>
      <c r="D3034" s="56" t="s">
        <v>12</v>
      </c>
      <c r="E3034" s="84">
        <f>ROUND(SUM(E3036:E3039),2)</f>
        <v>157.46</v>
      </c>
      <c r="F3034" s="166"/>
    </row>
    <row r="3035" spans="1:6">
      <c r="A3035" s="43"/>
      <c r="B3035" s="56"/>
      <c r="C3035" s="107" t="s">
        <v>3215</v>
      </c>
      <c r="D3035" s="99"/>
      <c r="E3035" s="113"/>
    </row>
    <row r="3036" spans="1:6" ht="34.200000000000003">
      <c r="A3036" s="43"/>
      <c r="B3036" s="56"/>
      <c r="C3036" s="104" t="s">
        <v>3202</v>
      </c>
      <c r="D3036" s="99" t="s">
        <v>12</v>
      </c>
      <c r="E3036" s="113">
        <f>(70.3*1.1)-((4*0.3*2)+(2.3*0.3*5)+(2.85*0.3*5)+(4*1.1*3)+(1*1.1*4))</f>
        <v>49.604999999999997</v>
      </c>
    </row>
    <row r="3037" spans="1:6" ht="34.200000000000003">
      <c r="A3037" s="43"/>
      <c r="B3037" s="56"/>
      <c r="C3037" s="104" t="s">
        <v>3205</v>
      </c>
      <c r="D3037" s="99" t="s">
        <v>12</v>
      </c>
      <c r="E3037" s="113">
        <f>((10+0.55+5.3+3.15+4.7+50.15)*1.1)-((1*1.1*10))</f>
        <v>70.234999999999999</v>
      </c>
    </row>
    <row r="3038" spans="1:6" ht="22.8">
      <c r="A3038" s="43"/>
      <c r="B3038" s="56"/>
      <c r="C3038" s="104" t="s">
        <v>3207</v>
      </c>
      <c r="D3038" s="99" t="s">
        <v>12</v>
      </c>
      <c r="E3038" s="113">
        <f>29*1.1</f>
        <v>31.900000000000002</v>
      </c>
    </row>
    <row r="3039" spans="1:6" ht="57">
      <c r="A3039" s="43"/>
      <c r="B3039" s="56"/>
      <c r="C3039" s="104" t="s">
        <v>3216</v>
      </c>
      <c r="D3039" s="99" t="s">
        <v>12</v>
      </c>
      <c r="E3039" s="113">
        <f>1.1*2.6*2</f>
        <v>5.7200000000000006</v>
      </c>
    </row>
    <row r="3040" spans="1:6">
      <c r="A3040" s="43"/>
      <c r="B3040" s="56"/>
      <c r="C3040" s="104"/>
      <c r="D3040" s="99"/>
      <c r="E3040" s="113"/>
    </row>
    <row r="3041" spans="1:6" hidden="1">
      <c r="A3041" s="43"/>
      <c r="B3041" s="56"/>
      <c r="C3041" s="104"/>
      <c r="D3041" s="99"/>
      <c r="E3041" s="113"/>
    </row>
    <row r="3042" spans="1:6" hidden="1">
      <c r="A3042" s="43"/>
      <c r="B3042" s="56"/>
      <c r="C3042" s="109"/>
      <c r="D3042" s="99"/>
      <c r="E3042" s="113"/>
    </row>
    <row r="3043" spans="1:6" hidden="1">
      <c r="A3043" s="43"/>
      <c r="B3043" s="56"/>
      <c r="C3043" s="109"/>
      <c r="D3043" s="99"/>
      <c r="E3043" s="113"/>
    </row>
    <row r="3044" spans="1:6" hidden="1">
      <c r="A3044" s="43"/>
      <c r="B3044" s="56"/>
      <c r="C3044" s="83"/>
      <c r="D3044" s="56"/>
      <c r="E3044" s="84"/>
    </row>
    <row r="3045" spans="1:6" hidden="1">
      <c r="A3045" s="43"/>
      <c r="B3045" s="56">
        <v>261560</v>
      </c>
      <c r="C3045" s="83" t="s">
        <v>1905</v>
      </c>
      <c r="D3045" s="56" t="s">
        <v>12</v>
      </c>
      <c r="E3045" s="84"/>
    </row>
    <row r="3046" spans="1:6" ht="26.4" hidden="1">
      <c r="A3046" s="43"/>
      <c r="B3046" s="56">
        <v>261602</v>
      </c>
      <c r="C3046" s="83" t="s">
        <v>1906</v>
      </c>
      <c r="D3046" s="56" t="s">
        <v>12</v>
      </c>
      <c r="E3046" s="84"/>
    </row>
    <row r="3047" spans="1:6" ht="26.4" hidden="1">
      <c r="A3047" s="43"/>
      <c r="B3047" s="56">
        <v>261603</v>
      </c>
      <c r="C3047" s="83" t="s">
        <v>1907</v>
      </c>
      <c r="D3047" s="56" t="s">
        <v>12</v>
      </c>
      <c r="E3047" s="84"/>
    </row>
    <row r="3048" spans="1:6" ht="26.4" hidden="1">
      <c r="A3048" s="43"/>
      <c r="B3048" s="56">
        <v>261605</v>
      </c>
      <c r="C3048" s="83" t="s">
        <v>1908</v>
      </c>
      <c r="D3048" s="56" t="s">
        <v>2930</v>
      </c>
      <c r="E3048" s="84"/>
    </row>
    <row r="3049" spans="1:6" ht="26.4" hidden="1">
      <c r="A3049" s="43"/>
      <c r="B3049" s="56">
        <v>261606</v>
      </c>
      <c r="C3049" s="83" t="s">
        <v>1909</v>
      </c>
      <c r="D3049" s="56" t="s">
        <v>12</v>
      </c>
      <c r="E3049" s="84"/>
    </row>
    <row r="3050" spans="1:6" hidden="1">
      <c r="A3050" s="43"/>
      <c r="B3050" s="56">
        <v>261607</v>
      </c>
      <c r="C3050" s="83" t="s">
        <v>1910</v>
      </c>
      <c r="D3050" s="56" t="s">
        <v>12</v>
      </c>
      <c r="E3050" s="84"/>
    </row>
    <row r="3051" spans="1:6">
      <c r="A3051" s="91" t="s">
        <v>3673</v>
      </c>
      <c r="B3051" s="56">
        <v>261609</v>
      </c>
      <c r="C3051" s="83" t="s">
        <v>1911</v>
      </c>
      <c r="D3051" s="56" t="s">
        <v>12</v>
      </c>
      <c r="E3051" s="84">
        <f>ROUND(SUM(E3052:E3057),2)</f>
        <v>844.33</v>
      </c>
      <c r="F3051" s="166"/>
    </row>
    <row r="3052" spans="1:6" ht="22.8">
      <c r="A3052" s="93"/>
      <c r="B3052" s="99"/>
      <c r="C3052" s="102" t="s">
        <v>3032</v>
      </c>
      <c r="D3052" s="99" t="s">
        <v>12</v>
      </c>
      <c r="E3052" s="113">
        <f>1211.23*0.37</f>
        <v>448.1551</v>
      </c>
    </row>
    <row r="3053" spans="1:6" ht="28.2" customHeight="1">
      <c r="A3053" s="93"/>
      <c r="B3053" s="99"/>
      <c r="C3053" s="102" t="s">
        <v>3031</v>
      </c>
      <c r="D3053" s="99" t="s">
        <v>12</v>
      </c>
      <c r="E3053" s="113">
        <f>2*PI()*((12.7/1000)/2)*973.47</f>
        <v>38.839726746223711</v>
      </c>
    </row>
    <row r="3054" spans="1:6" ht="37.950000000000003" customHeight="1">
      <c r="A3054" s="93"/>
      <c r="B3054" s="99"/>
      <c r="C3054" s="102" t="s">
        <v>3352</v>
      </c>
      <c r="D3054" s="99" t="s">
        <v>12</v>
      </c>
      <c r="E3054" s="113">
        <f>(2*3.14*0.5*6)+(2*3.14*1.325*2.45)+(3.14*(1.325+0.5)*1.15)+(3.14*1.325*(1.325+1.36))</f>
        <v>56.987467500000001</v>
      </c>
    </row>
    <row r="3055" spans="1:6" ht="37.950000000000003" customHeight="1">
      <c r="A3055" s="93"/>
      <c r="B3055" s="99"/>
      <c r="C3055" s="102" t="s">
        <v>3353</v>
      </c>
      <c r="D3055" s="99" t="s">
        <v>12</v>
      </c>
      <c r="E3055" s="113">
        <f>(2*3.14*0.5*6)+(2*3.14*1.125*2)+(3.14*(1.125+0.5)*0.902)+(3.14*1.125*(1.125+1.14))</f>
        <v>45.573567499999996</v>
      </c>
    </row>
    <row r="3056" spans="1:6">
      <c r="A3056" s="93"/>
      <c r="B3056" s="99"/>
      <c r="C3056" s="102" t="s">
        <v>3553</v>
      </c>
      <c r="D3056" s="99" t="s">
        <v>12</v>
      </c>
      <c r="E3056" s="113">
        <v>254.09299999999999</v>
      </c>
    </row>
    <row r="3057" spans="1:5">
      <c r="A3057" s="93"/>
      <c r="B3057" s="99"/>
      <c r="C3057" s="102" t="s">
        <v>3905</v>
      </c>
      <c r="D3057" s="99" t="s">
        <v>12</v>
      </c>
      <c r="E3057" s="113">
        <f>0.1*0.2*34</f>
        <v>0.68000000000000016</v>
      </c>
    </row>
    <row r="3058" spans="1:5">
      <c r="A3058" s="43"/>
      <c r="B3058" s="56"/>
      <c r="C3058" s="83"/>
      <c r="D3058" s="56"/>
      <c r="E3058" s="84"/>
    </row>
    <row r="3059" spans="1:5" hidden="1">
      <c r="A3059" s="43"/>
      <c r="B3059" s="56">
        <v>261610</v>
      </c>
      <c r="C3059" s="83" t="s">
        <v>1912</v>
      </c>
      <c r="D3059" s="56" t="s">
        <v>12</v>
      </c>
      <c r="E3059" s="84"/>
    </row>
    <row r="3060" spans="1:5" ht="26.4" hidden="1">
      <c r="A3060" s="43"/>
      <c r="B3060" s="56">
        <v>261611</v>
      </c>
      <c r="C3060" s="83" t="s">
        <v>1913</v>
      </c>
      <c r="D3060" s="56" t="s">
        <v>12</v>
      </c>
      <c r="E3060" s="84"/>
    </row>
    <row r="3061" spans="1:5" hidden="1">
      <c r="A3061" s="43"/>
      <c r="B3061" s="56">
        <v>261620</v>
      </c>
      <c r="C3061" s="83" t="s">
        <v>1914</v>
      </c>
      <c r="D3061" s="56" t="s">
        <v>12</v>
      </c>
      <c r="E3061" s="84"/>
    </row>
    <row r="3062" spans="1:5" hidden="1">
      <c r="A3062" s="43"/>
      <c r="B3062" s="56">
        <v>261623</v>
      </c>
      <c r="C3062" s="83" t="s">
        <v>1915</v>
      </c>
      <c r="D3062" s="56" t="s">
        <v>12</v>
      </c>
      <c r="E3062" s="84"/>
    </row>
    <row r="3063" spans="1:5" hidden="1">
      <c r="A3063" s="43"/>
      <c r="B3063" s="56">
        <v>261700</v>
      </c>
      <c r="C3063" s="83" t="s">
        <v>1916</v>
      </c>
      <c r="D3063" s="56" t="s">
        <v>39</v>
      </c>
      <c r="E3063" s="84"/>
    </row>
    <row r="3064" spans="1:5" ht="26.4">
      <c r="A3064" s="91" t="s">
        <v>3690</v>
      </c>
      <c r="B3064" s="56">
        <v>261703</v>
      </c>
      <c r="C3064" s="83" t="s">
        <v>1917</v>
      </c>
      <c r="D3064" s="56" t="s">
        <v>12</v>
      </c>
      <c r="E3064" s="84">
        <f>ROUND(SUM(E3065:E3073),2)</f>
        <v>1197.42</v>
      </c>
    </row>
    <row r="3065" spans="1:5">
      <c r="A3065" s="93"/>
      <c r="B3065" s="108"/>
      <c r="C3065" s="109" t="s">
        <v>3050</v>
      </c>
      <c r="D3065" s="99" t="s">
        <v>12</v>
      </c>
      <c r="E3065" s="113">
        <f xml:space="preserve"> 859.94 + (2197.44 - 1967.692)</f>
        <v>1089.6880000000001</v>
      </c>
    </row>
    <row r="3066" spans="1:5">
      <c r="A3066" s="93"/>
      <c r="B3066" s="108"/>
      <c r="C3066" s="109" t="s">
        <v>3906</v>
      </c>
      <c r="D3066" s="99" t="s">
        <v>12</v>
      </c>
      <c r="E3066" s="113">
        <f xml:space="preserve"> 32.01 + 17.7 + 17.38 + 7.74 + 7.74</f>
        <v>82.569999999999979</v>
      </c>
    </row>
    <row r="3067" spans="1:5" ht="45.6">
      <c r="A3067" s="93"/>
      <c r="B3067" s="108"/>
      <c r="C3067" s="109" t="s">
        <v>3316</v>
      </c>
      <c r="D3067" s="99" t="s">
        <v>12</v>
      </c>
      <c r="E3067" s="113">
        <f>((0.36*0.36)+((0.36*4)*0.08))*5</f>
        <v>1.224</v>
      </c>
    </row>
    <row r="3068" spans="1:5" ht="34.200000000000003">
      <c r="A3068" s="93"/>
      <c r="B3068" s="108"/>
      <c r="C3068" s="109" t="s">
        <v>3314</v>
      </c>
      <c r="D3068" s="99" t="s">
        <v>12</v>
      </c>
      <c r="E3068" s="113">
        <f>5</f>
        <v>5</v>
      </c>
    </row>
    <row r="3069" spans="1:5" ht="45.6">
      <c r="A3069" s="93"/>
      <c r="B3069" s="108"/>
      <c r="C3069" s="109" t="s">
        <v>3315</v>
      </c>
      <c r="D3069" s="99" t="s">
        <v>12</v>
      </c>
      <c r="E3069" s="113">
        <f>4*0.8*0.8</f>
        <v>2.5600000000000005</v>
      </c>
    </row>
    <row r="3070" spans="1:5" ht="22.8">
      <c r="A3070" s="93"/>
      <c r="B3070" s="108"/>
      <c r="C3070" s="109" t="s">
        <v>3317</v>
      </c>
      <c r="D3070" s="99" t="s">
        <v>12</v>
      </c>
      <c r="E3070" s="113">
        <f>(0.9*0.55)+((0.9+0.55+0.9+0.55)*0.3)</f>
        <v>1.3650000000000002</v>
      </c>
    </row>
    <row r="3071" spans="1:5" ht="34.200000000000003">
      <c r="A3071" s="93"/>
      <c r="B3071" s="108"/>
      <c r="C3071" s="109" t="s">
        <v>3318</v>
      </c>
      <c r="D3071" s="99" t="s">
        <v>12</v>
      </c>
      <c r="E3071" s="113">
        <f>(0.6*0.6)+((0.6*4)*0.15)</f>
        <v>0.72</v>
      </c>
    </row>
    <row r="3072" spans="1:5">
      <c r="A3072" s="93"/>
      <c r="B3072" s="108"/>
      <c r="C3072" s="109" t="s">
        <v>3354</v>
      </c>
      <c r="D3072" s="99" t="s">
        <v>12</v>
      </c>
      <c r="E3072" s="113">
        <f>(4*4)-(3*3)</f>
        <v>7</v>
      </c>
    </row>
    <row r="3073" spans="1:6">
      <c r="A3073" s="93"/>
      <c r="B3073" s="108"/>
      <c r="C3073" s="109" t="s">
        <v>3355</v>
      </c>
      <c r="D3073" s="99" t="s">
        <v>12</v>
      </c>
      <c r="E3073" s="113">
        <v>7.29</v>
      </c>
    </row>
    <row r="3074" spans="1:6">
      <c r="A3074" s="93"/>
      <c r="B3074" s="108"/>
      <c r="C3074" s="116"/>
      <c r="D3074" s="108"/>
      <c r="E3074" s="113"/>
    </row>
    <row r="3075" spans="1:6" ht="26.4">
      <c r="A3075" s="91" t="s">
        <v>3691</v>
      </c>
      <c r="B3075" s="56" t="s">
        <v>3349</v>
      </c>
      <c r="C3075" s="103" t="s">
        <v>3350</v>
      </c>
      <c r="D3075" s="97" t="s">
        <v>2889</v>
      </c>
      <c r="E3075" s="84">
        <f>ROUND((E3076+E3077),2)</f>
        <v>37.01</v>
      </c>
      <c r="F3075" s="166"/>
    </row>
    <row r="3076" spans="1:6" ht="34.200000000000003">
      <c r="A3076" s="93"/>
      <c r="B3076" s="108"/>
      <c r="C3076" s="104" t="s">
        <v>3351</v>
      </c>
      <c r="D3076" s="99" t="s">
        <v>12</v>
      </c>
      <c r="E3076" s="113">
        <v>25.45</v>
      </c>
    </row>
    <row r="3077" spans="1:6" ht="24" customHeight="1">
      <c r="A3077" s="93"/>
      <c r="B3077" s="108"/>
      <c r="C3077" s="104" t="s">
        <v>3360</v>
      </c>
      <c r="D3077" s="99" t="s">
        <v>12</v>
      </c>
      <c r="E3077" s="113">
        <f>3.4*3.4</f>
        <v>11.559999999999999</v>
      </c>
    </row>
    <row r="3078" spans="1:6">
      <c r="A3078" s="93"/>
      <c r="B3078" s="108"/>
      <c r="C3078" s="109"/>
      <c r="D3078" s="108"/>
      <c r="E3078" s="113"/>
    </row>
    <row r="3079" spans="1:6" hidden="1">
      <c r="A3079" s="93"/>
      <c r="B3079" s="108"/>
      <c r="C3079" s="116"/>
      <c r="D3079" s="108"/>
      <c r="E3079" s="113"/>
    </row>
    <row r="3080" spans="1:6" hidden="1">
      <c r="A3080" s="93"/>
      <c r="B3080" s="108"/>
      <c r="C3080" s="109"/>
      <c r="D3080" s="99"/>
      <c r="E3080" s="113"/>
    </row>
    <row r="3081" spans="1:6" hidden="1">
      <c r="A3081" s="93"/>
      <c r="B3081" s="108"/>
      <c r="C3081" s="109"/>
      <c r="D3081" s="108"/>
      <c r="E3081" s="113"/>
    </row>
    <row r="3082" spans="1:6" hidden="1">
      <c r="A3082" s="93"/>
      <c r="B3082" s="108"/>
      <c r="C3082" s="116"/>
      <c r="D3082" s="108"/>
      <c r="E3082" s="113"/>
    </row>
    <row r="3083" spans="1:6" hidden="1">
      <c r="A3083" s="93"/>
      <c r="B3083" s="108"/>
      <c r="C3083" s="109"/>
      <c r="D3083" s="99"/>
      <c r="E3083" s="113"/>
    </row>
    <row r="3084" spans="1:6" hidden="1">
      <c r="A3084" s="93"/>
      <c r="B3084" s="108"/>
      <c r="C3084" s="109"/>
      <c r="D3084" s="108"/>
      <c r="E3084" s="113"/>
    </row>
    <row r="3085" spans="1:6" hidden="1">
      <c r="A3085" s="25"/>
      <c r="B3085" s="53"/>
      <c r="C3085" s="27"/>
      <c r="D3085" s="53"/>
      <c r="E3085" s="87"/>
    </row>
    <row r="3086" spans="1:6">
      <c r="A3086" s="32">
        <v>17</v>
      </c>
      <c r="B3086" s="61">
        <v>270000</v>
      </c>
      <c r="C3086" s="44" t="s">
        <v>1918</v>
      </c>
      <c r="D3086" s="147"/>
      <c r="E3086" s="88"/>
    </row>
    <row r="3087" spans="1:6" ht="26.4" hidden="1">
      <c r="A3087" s="45"/>
      <c r="B3087" s="56">
        <v>270105</v>
      </c>
      <c r="C3087" s="83" t="s">
        <v>1919</v>
      </c>
      <c r="D3087" s="56" t="s">
        <v>12</v>
      </c>
      <c r="E3087" s="74"/>
    </row>
    <row r="3088" spans="1:6" ht="26.4" hidden="1">
      <c r="A3088" s="39"/>
      <c r="B3088" s="56">
        <v>270202</v>
      </c>
      <c r="C3088" s="83" t="s">
        <v>1920</v>
      </c>
      <c r="D3088" s="56" t="s">
        <v>12</v>
      </c>
      <c r="E3088" s="106"/>
    </row>
    <row r="3089" spans="1:6" ht="26.4" hidden="1">
      <c r="A3089" s="45"/>
      <c r="B3089" s="56">
        <v>270205</v>
      </c>
      <c r="C3089" s="83" t="s">
        <v>1921</v>
      </c>
      <c r="D3089" s="56" t="s">
        <v>2930</v>
      </c>
      <c r="E3089" s="74"/>
    </row>
    <row r="3090" spans="1:6" hidden="1">
      <c r="A3090" s="45"/>
      <c r="B3090" s="56">
        <v>270206</v>
      </c>
      <c r="C3090" s="83" t="s">
        <v>1922</v>
      </c>
      <c r="D3090" s="56" t="s">
        <v>12</v>
      </c>
      <c r="E3090" s="74"/>
    </row>
    <row r="3091" spans="1:6" ht="26.4" hidden="1">
      <c r="A3091" s="45"/>
      <c r="B3091" s="56">
        <v>270207</v>
      </c>
      <c r="C3091" s="83" t="s">
        <v>1923</v>
      </c>
      <c r="D3091" s="56" t="s">
        <v>12</v>
      </c>
      <c r="E3091" s="74"/>
    </row>
    <row r="3092" spans="1:6" ht="26.4" hidden="1">
      <c r="A3092" s="39"/>
      <c r="B3092" s="56">
        <v>270210</v>
      </c>
      <c r="C3092" s="83" t="s">
        <v>1924</v>
      </c>
      <c r="D3092" s="56" t="s">
        <v>12</v>
      </c>
      <c r="E3092" s="74"/>
    </row>
    <row r="3093" spans="1:6" ht="39.6" hidden="1">
      <c r="A3093" s="45"/>
      <c r="B3093" s="56">
        <v>270211</v>
      </c>
      <c r="C3093" s="83" t="s">
        <v>1925</v>
      </c>
      <c r="D3093" s="56" t="s">
        <v>2930</v>
      </c>
      <c r="E3093" s="74"/>
    </row>
    <row r="3094" spans="1:6" ht="39.6" hidden="1">
      <c r="A3094" s="45"/>
      <c r="B3094" s="56">
        <v>270212</v>
      </c>
      <c r="C3094" s="83" t="s">
        <v>1926</v>
      </c>
      <c r="D3094" s="56" t="s">
        <v>2930</v>
      </c>
      <c r="E3094" s="74"/>
    </row>
    <row r="3095" spans="1:6" ht="39.6" hidden="1">
      <c r="A3095" s="45"/>
      <c r="B3095" s="56">
        <v>270213</v>
      </c>
      <c r="C3095" s="83" t="s">
        <v>1927</v>
      </c>
      <c r="D3095" s="56" t="s">
        <v>12</v>
      </c>
      <c r="E3095" s="106"/>
    </row>
    <row r="3096" spans="1:6" ht="39.6" hidden="1">
      <c r="A3096" s="45"/>
      <c r="B3096" s="56">
        <v>270215</v>
      </c>
      <c r="C3096" s="83" t="s">
        <v>1928</v>
      </c>
      <c r="D3096" s="56" t="s">
        <v>12</v>
      </c>
      <c r="E3096" s="74"/>
    </row>
    <row r="3097" spans="1:6" hidden="1">
      <c r="A3097" s="45"/>
      <c r="B3097" s="56">
        <v>270230</v>
      </c>
      <c r="C3097" s="83" t="s">
        <v>1929</v>
      </c>
      <c r="D3097" s="56" t="s">
        <v>12</v>
      </c>
      <c r="E3097" s="74"/>
    </row>
    <row r="3098" spans="1:6" hidden="1">
      <c r="A3098" s="45"/>
      <c r="B3098" s="56">
        <v>270232</v>
      </c>
      <c r="C3098" s="83" t="s">
        <v>1930</v>
      </c>
      <c r="D3098" s="56" t="s">
        <v>12</v>
      </c>
      <c r="E3098" s="74"/>
    </row>
    <row r="3099" spans="1:6" hidden="1">
      <c r="A3099" s="45"/>
      <c r="B3099" s="56">
        <v>270234</v>
      </c>
      <c r="C3099" s="83" t="s">
        <v>1931</v>
      </c>
      <c r="D3099" s="56" t="s">
        <v>12</v>
      </c>
      <c r="E3099" s="74"/>
    </row>
    <row r="3100" spans="1:6" hidden="1">
      <c r="A3100" s="45"/>
      <c r="B3100" s="56">
        <v>270236</v>
      </c>
      <c r="C3100" s="83" t="s">
        <v>1932</v>
      </c>
      <c r="D3100" s="56" t="s">
        <v>12</v>
      </c>
      <c r="E3100" s="74"/>
    </row>
    <row r="3101" spans="1:6">
      <c r="A3101" s="96" t="s">
        <v>3693</v>
      </c>
      <c r="B3101" s="56">
        <v>270501</v>
      </c>
      <c r="C3101" s="83" t="s">
        <v>1933</v>
      </c>
      <c r="D3101" s="56" t="s">
        <v>12</v>
      </c>
      <c r="E3101" s="74">
        <f>ROUND(SUM(E3103:E3127),2)</f>
        <v>1597.92</v>
      </c>
      <c r="F3101" s="166"/>
    </row>
    <row r="3102" spans="1:6" ht="22.8">
      <c r="A3102" s="98"/>
      <c r="B3102" s="99"/>
      <c r="C3102" s="116" t="s">
        <v>3261</v>
      </c>
      <c r="D3102" s="99"/>
      <c r="E3102" s="101"/>
    </row>
    <row r="3103" spans="1:6">
      <c r="A3103" s="98"/>
      <c r="B3103" s="99"/>
      <c r="C3103" s="109" t="s">
        <v>2691</v>
      </c>
      <c r="D3103" s="99" t="s">
        <v>12</v>
      </c>
      <c r="E3103" s="101">
        <v>38.799999999999997</v>
      </c>
    </row>
    <row r="3104" spans="1:6">
      <c r="A3104" s="98"/>
      <c r="B3104" s="99"/>
      <c r="C3104" s="109" t="s">
        <v>2870</v>
      </c>
      <c r="D3104" s="99" t="s">
        <v>12</v>
      </c>
      <c r="E3104" s="101">
        <v>38.799999999999997</v>
      </c>
    </row>
    <row r="3105" spans="1:5">
      <c r="A3105" s="98"/>
      <c r="B3105" s="99"/>
      <c r="C3105" s="109" t="s">
        <v>2690</v>
      </c>
      <c r="D3105" s="99" t="s">
        <v>12</v>
      </c>
      <c r="E3105" s="101">
        <v>39</v>
      </c>
    </row>
    <row r="3106" spans="1:5">
      <c r="A3106" s="98"/>
      <c r="B3106" s="99"/>
      <c r="C3106" s="109" t="s">
        <v>2692</v>
      </c>
      <c r="D3106" s="99" t="s">
        <v>12</v>
      </c>
      <c r="E3106" s="101">
        <v>39</v>
      </c>
    </row>
    <row r="3107" spans="1:5">
      <c r="A3107" s="98"/>
      <c r="B3107" s="99"/>
      <c r="C3107" s="109" t="s">
        <v>2885</v>
      </c>
      <c r="D3107" s="99" t="s">
        <v>12</v>
      </c>
      <c r="E3107" s="101">
        <v>54.35</v>
      </c>
    </row>
    <row r="3108" spans="1:5">
      <c r="A3108" s="98"/>
      <c r="B3108" s="99"/>
      <c r="C3108" s="109" t="s">
        <v>3655</v>
      </c>
      <c r="D3108" s="99" t="s">
        <v>12</v>
      </c>
      <c r="E3108" s="101">
        <v>232.74</v>
      </c>
    </row>
    <row r="3109" spans="1:5">
      <c r="A3109" s="98"/>
      <c r="B3109" s="99"/>
      <c r="C3109" s="109" t="s">
        <v>3656</v>
      </c>
      <c r="D3109" s="99" t="s">
        <v>12</v>
      </c>
      <c r="E3109" s="101">
        <v>8.7899999999999991</v>
      </c>
    </row>
    <row r="3110" spans="1:5">
      <c r="A3110" s="98"/>
      <c r="B3110" s="99"/>
      <c r="C3110" s="109" t="s">
        <v>3657</v>
      </c>
      <c r="D3110" s="99" t="s">
        <v>12</v>
      </c>
      <c r="E3110" s="101">
        <v>8.68</v>
      </c>
    </row>
    <row r="3111" spans="1:5">
      <c r="A3111" s="98"/>
      <c r="B3111" s="99"/>
      <c r="C3111" s="109" t="s">
        <v>3658</v>
      </c>
      <c r="D3111" s="99" t="s">
        <v>12</v>
      </c>
      <c r="E3111" s="101">
        <v>10.54</v>
      </c>
    </row>
    <row r="3112" spans="1:5">
      <c r="A3112" s="98"/>
      <c r="B3112" s="99"/>
      <c r="C3112" s="109" t="s">
        <v>3659</v>
      </c>
      <c r="D3112" s="99" t="s">
        <v>12</v>
      </c>
      <c r="E3112" s="101">
        <v>8.68</v>
      </c>
    </row>
    <row r="3113" spans="1:5">
      <c r="A3113" s="98"/>
      <c r="B3113" s="99"/>
      <c r="C3113" s="109" t="s">
        <v>3660</v>
      </c>
      <c r="D3113" s="99" t="s">
        <v>12</v>
      </c>
      <c r="E3113" s="101">
        <v>8.7899999999999991</v>
      </c>
    </row>
    <row r="3114" spans="1:5">
      <c r="A3114" s="98"/>
      <c r="B3114" s="99"/>
      <c r="C3114" s="109" t="s">
        <v>3661</v>
      </c>
      <c r="D3114" s="99" t="s">
        <v>12</v>
      </c>
      <c r="E3114" s="101">
        <v>8.7899999999999991</v>
      </c>
    </row>
    <row r="3115" spans="1:5">
      <c r="A3115" s="98"/>
      <c r="B3115" s="99"/>
      <c r="C3115" s="109" t="s">
        <v>3662</v>
      </c>
      <c r="D3115" s="99" t="s">
        <v>12</v>
      </c>
      <c r="E3115" s="101">
        <v>54.35</v>
      </c>
    </row>
    <row r="3116" spans="1:5">
      <c r="A3116" s="98"/>
      <c r="B3116" s="99"/>
      <c r="C3116" s="109" t="s">
        <v>3663</v>
      </c>
      <c r="D3116" s="99" t="s">
        <v>12</v>
      </c>
      <c r="E3116" s="101">
        <v>78.8</v>
      </c>
    </row>
    <row r="3117" spans="1:5">
      <c r="A3117" s="98"/>
      <c r="B3117" s="99"/>
      <c r="C3117" s="109" t="s">
        <v>3664</v>
      </c>
      <c r="D3117" s="99" t="s">
        <v>12</v>
      </c>
      <c r="E3117" s="101">
        <v>78.8</v>
      </c>
    </row>
    <row r="3118" spans="1:5">
      <c r="A3118" s="98"/>
      <c r="B3118" s="99"/>
      <c r="C3118" s="109" t="s">
        <v>3665</v>
      </c>
      <c r="D3118" s="99" t="s">
        <v>12</v>
      </c>
      <c r="E3118" s="101">
        <v>78.8</v>
      </c>
    </row>
    <row r="3119" spans="1:5">
      <c r="A3119" s="98"/>
      <c r="B3119" s="99"/>
      <c r="C3119" s="109" t="s">
        <v>3666</v>
      </c>
      <c r="D3119" s="99" t="s">
        <v>12</v>
      </c>
      <c r="E3119" s="101">
        <v>78.8</v>
      </c>
    </row>
    <row r="3120" spans="1:5">
      <c r="A3120" s="98"/>
      <c r="B3120" s="99"/>
      <c r="C3120" s="109" t="s">
        <v>3667</v>
      </c>
      <c r="D3120" s="99" t="s">
        <v>12</v>
      </c>
      <c r="E3120" s="101">
        <v>78.8</v>
      </c>
    </row>
    <row r="3121" spans="1:5">
      <c r="A3121" s="98"/>
      <c r="B3121" s="99"/>
      <c r="C3121" s="109" t="s">
        <v>3668</v>
      </c>
      <c r="D3121" s="99" t="s">
        <v>12</v>
      </c>
      <c r="E3121" s="101">
        <v>78.8</v>
      </c>
    </row>
    <row r="3122" spans="1:5">
      <c r="A3122" s="98"/>
      <c r="B3122" s="99"/>
      <c r="C3122" s="109" t="s">
        <v>3669</v>
      </c>
      <c r="D3122" s="99" t="s">
        <v>12</v>
      </c>
      <c r="E3122" s="101">
        <v>451.1</v>
      </c>
    </row>
    <row r="3123" spans="1:5">
      <c r="A3123" s="98"/>
      <c r="B3123" s="99"/>
      <c r="C3123" s="109" t="s">
        <v>2702</v>
      </c>
      <c r="D3123" s="99" t="s">
        <v>12</v>
      </c>
      <c r="E3123" s="101">
        <v>47.66</v>
      </c>
    </row>
    <row r="3124" spans="1:5">
      <c r="A3124" s="98"/>
      <c r="B3124" s="99"/>
      <c r="C3124" s="109" t="s">
        <v>2703</v>
      </c>
      <c r="D3124" s="99" t="s">
        <v>12</v>
      </c>
      <c r="E3124" s="101">
        <v>47.66</v>
      </c>
    </row>
    <row r="3125" spans="1:5">
      <c r="A3125" s="98"/>
      <c r="B3125" s="99"/>
      <c r="C3125" s="109" t="s">
        <v>2524</v>
      </c>
      <c r="D3125" s="99" t="s">
        <v>12</v>
      </c>
      <c r="E3125" s="101">
        <v>5.0999999999999996</v>
      </c>
    </row>
    <row r="3126" spans="1:5">
      <c r="A3126" s="98"/>
      <c r="B3126" s="99"/>
      <c r="C3126" s="109" t="s">
        <v>2695</v>
      </c>
      <c r="D3126" s="99" t="s">
        <v>12</v>
      </c>
      <c r="E3126" s="101">
        <v>15</v>
      </c>
    </row>
    <row r="3127" spans="1:5">
      <c r="A3127" s="98"/>
      <c r="B3127" s="99"/>
      <c r="C3127" s="109" t="s">
        <v>3670</v>
      </c>
      <c r="D3127" s="99" t="s">
        <v>12</v>
      </c>
      <c r="E3127" s="101">
        <v>7.29</v>
      </c>
    </row>
    <row r="3128" spans="1:5">
      <c r="A3128" s="96"/>
      <c r="B3128" s="97"/>
      <c r="C3128" s="103"/>
      <c r="D3128" s="97"/>
      <c r="E3128" s="74"/>
    </row>
    <row r="3129" spans="1:5" ht="26.4" hidden="1">
      <c r="A3129" s="45"/>
      <c r="B3129" s="56">
        <v>270502</v>
      </c>
      <c r="C3129" s="83" t="s">
        <v>1934</v>
      </c>
      <c r="D3129" s="56" t="s">
        <v>12</v>
      </c>
      <c r="E3129" s="74"/>
    </row>
    <row r="3130" spans="1:5" ht="26.4" hidden="1">
      <c r="A3130" s="45"/>
      <c r="B3130" s="56">
        <v>270503</v>
      </c>
      <c r="C3130" s="83" t="s">
        <v>1935</v>
      </c>
      <c r="D3130" s="56" t="s">
        <v>12</v>
      </c>
      <c r="E3130" s="74"/>
    </row>
    <row r="3131" spans="1:5" ht="26.4" hidden="1">
      <c r="A3131" s="45"/>
      <c r="B3131" s="56">
        <v>270504</v>
      </c>
      <c r="C3131" s="83" t="s">
        <v>1936</v>
      </c>
      <c r="D3131" s="56" t="s">
        <v>12</v>
      </c>
      <c r="E3131" s="74"/>
    </row>
    <row r="3132" spans="1:5" ht="26.4" hidden="1">
      <c r="A3132" s="45"/>
      <c r="B3132" s="56">
        <v>270601</v>
      </c>
      <c r="C3132" s="83" t="s">
        <v>1937</v>
      </c>
      <c r="D3132" s="56" t="s">
        <v>12</v>
      </c>
      <c r="E3132" s="74"/>
    </row>
    <row r="3133" spans="1:5" hidden="1">
      <c r="A3133" s="45"/>
      <c r="B3133" s="56">
        <v>270602</v>
      </c>
      <c r="C3133" s="83" t="s">
        <v>1938</v>
      </c>
      <c r="D3133" s="56" t="s">
        <v>12</v>
      </c>
      <c r="E3133" s="74"/>
    </row>
    <row r="3134" spans="1:5" hidden="1">
      <c r="A3134" s="45"/>
      <c r="B3134" s="56">
        <v>270603</v>
      </c>
      <c r="C3134" s="83" t="s">
        <v>1939</v>
      </c>
      <c r="D3134" s="56" t="s">
        <v>12</v>
      </c>
      <c r="E3134" s="74"/>
    </row>
    <row r="3135" spans="1:5" hidden="1">
      <c r="A3135" s="45"/>
      <c r="B3135" s="56">
        <v>270619</v>
      </c>
      <c r="C3135" s="83" t="s">
        <v>1940</v>
      </c>
      <c r="D3135" s="56" t="s">
        <v>136</v>
      </c>
      <c r="E3135" s="74"/>
    </row>
    <row r="3136" spans="1:5" ht="26.4" hidden="1">
      <c r="A3136" s="45"/>
      <c r="B3136" s="56">
        <v>270620</v>
      </c>
      <c r="C3136" s="83" t="s">
        <v>1941</v>
      </c>
      <c r="D3136" s="56" t="s">
        <v>12</v>
      </c>
      <c r="E3136" s="74"/>
    </row>
    <row r="3137" spans="1:5" ht="26.4" hidden="1">
      <c r="A3137" s="45"/>
      <c r="B3137" s="56">
        <v>270621</v>
      </c>
      <c r="C3137" s="83" t="s">
        <v>1942</v>
      </c>
      <c r="D3137" s="56" t="s">
        <v>12</v>
      </c>
      <c r="E3137" s="74"/>
    </row>
    <row r="3138" spans="1:5" ht="26.4" hidden="1">
      <c r="A3138" s="45"/>
      <c r="B3138" s="56">
        <v>270701</v>
      </c>
      <c r="C3138" s="83" t="s">
        <v>1943</v>
      </c>
      <c r="D3138" s="56" t="s">
        <v>39</v>
      </c>
      <c r="E3138" s="74"/>
    </row>
    <row r="3139" spans="1:5" ht="26.4" hidden="1">
      <c r="A3139" s="45"/>
      <c r="B3139" s="56">
        <v>270702</v>
      </c>
      <c r="C3139" s="83" t="s">
        <v>1944</v>
      </c>
      <c r="D3139" s="56" t="s">
        <v>39</v>
      </c>
      <c r="E3139" s="74"/>
    </row>
    <row r="3140" spans="1:5" ht="52.8" hidden="1">
      <c r="A3140" s="45"/>
      <c r="B3140" s="56">
        <v>270704</v>
      </c>
      <c r="C3140" s="83" t="s">
        <v>1945</v>
      </c>
      <c r="D3140" s="56" t="s">
        <v>1946</v>
      </c>
      <c r="E3140" s="74"/>
    </row>
    <row r="3141" spans="1:5" ht="39.6" hidden="1">
      <c r="A3141" s="45"/>
      <c r="B3141" s="56">
        <v>270705</v>
      </c>
      <c r="C3141" s="83" t="s">
        <v>1947</v>
      </c>
      <c r="D3141" s="56" t="s">
        <v>39</v>
      </c>
      <c r="E3141" s="74"/>
    </row>
    <row r="3142" spans="1:5" ht="39.6" hidden="1">
      <c r="A3142" s="45"/>
      <c r="B3142" s="56" t="s">
        <v>1948</v>
      </c>
      <c r="C3142" s="83" t="s">
        <v>1949</v>
      </c>
      <c r="D3142" s="56" t="s">
        <v>39</v>
      </c>
      <c r="E3142" s="83"/>
    </row>
    <row r="3143" spans="1:5" ht="26.4" hidden="1">
      <c r="A3143" s="45"/>
      <c r="B3143" s="56">
        <v>270802</v>
      </c>
      <c r="C3143" s="83" t="s">
        <v>1950</v>
      </c>
      <c r="D3143" s="56" t="s">
        <v>988</v>
      </c>
      <c r="E3143" s="74"/>
    </row>
    <row r="3144" spans="1:5">
      <c r="A3144" s="96" t="s">
        <v>3694</v>
      </c>
      <c r="B3144" s="56">
        <v>270804</v>
      </c>
      <c r="C3144" s="83" t="s">
        <v>1951</v>
      </c>
      <c r="D3144" s="56" t="s">
        <v>2930</v>
      </c>
      <c r="E3144" s="74">
        <f>ROUND((E3145),2)</f>
        <v>1</v>
      </c>
    </row>
    <row r="3145" spans="1:5">
      <c r="A3145" s="45"/>
      <c r="B3145" s="56"/>
      <c r="C3145" s="104" t="s">
        <v>3326</v>
      </c>
      <c r="D3145" s="99" t="s">
        <v>2930</v>
      </c>
      <c r="E3145" s="101">
        <v>1</v>
      </c>
    </row>
    <row r="3146" spans="1:5">
      <c r="A3146" s="45"/>
      <c r="B3146" s="56"/>
      <c r="C3146" s="83"/>
      <c r="D3146" s="56"/>
      <c r="E3146" s="74"/>
    </row>
    <row r="3147" spans="1:5" hidden="1">
      <c r="A3147" s="45"/>
      <c r="B3147" s="56">
        <v>270805</v>
      </c>
      <c r="C3147" s="83" t="s">
        <v>1952</v>
      </c>
      <c r="D3147" s="56" t="s">
        <v>2930</v>
      </c>
      <c r="E3147" s="74"/>
    </row>
    <row r="3148" spans="1:5" hidden="1">
      <c r="A3148" s="45"/>
      <c r="B3148" s="56">
        <v>270806</v>
      </c>
      <c r="C3148" s="83" t="s">
        <v>1953</v>
      </c>
      <c r="D3148" s="56" t="s">
        <v>2930</v>
      </c>
      <c r="E3148" s="74"/>
    </row>
    <row r="3149" spans="1:5" hidden="1">
      <c r="A3149" s="45"/>
      <c r="B3149" s="56">
        <v>270807</v>
      </c>
      <c r="C3149" s="83" t="s">
        <v>1954</v>
      </c>
      <c r="D3149" s="56" t="s">
        <v>2930</v>
      </c>
      <c r="E3149" s="74"/>
    </row>
    <row r="3150" spans="1:5" hidden="1">
      <c r="A3150" s="45"/>
      <c r="B3150" s="56">
        <v>270808</v>
      </c>
      <c r="C3150" s="83" t="s">
        <v>1955</v>
      </c>
      <c r="D3150" s="56" t="s">
        <v>2930</v>
      </c>
      <c r="E3150" s="74"/>
    </row>
    <row r="3151" spans="1:5" hidden="1">
      <c r="A3151" s="45"/>
      <c r="B3151" s="56">
        <v>270809</v>
      </c>
      <c r="C3151" s="83" t="s">
        <v>1956</v>
      </c>
      <c r="D3151" s="56" t="s">
        <v>2930</v>
      </c>
      <c r="E3151" s="74"/>
    </row>
    <row r="3152" spans="1:5" hidden="1">
      <c r="A3152" s="45"/>
      <c r="B3152" s="56">
        <v>270810</v>
      </c>
      <c r="C3152" s="83" t="s">
        <v>1957</v>
      </c>
      <c r="D3152" s="56" t="s">
        <v>2930</v>
      </c>
      <c r="E3152" s="74"/>
    </row>
    <row r="3153" spans="1:5" hidden="1">
      <c r="A3153" s="45"/>
      <c r="B3153" s="56">
        <v>270811</v>
      </c>
      <c r="C3153" s="83" t="s">
        <v>1958</v>
      </c>
      <c r="D3153" s="56" t="s">
        <v>2930</v>
      </c>
      <c r="E3153" s="74"/>
    </row>
    <row r="3154" spans="1:5" ht="26.4" hidden="1">
      <c r="A3154" s="45"/>
      <c r="B3154" s="56">
        <v>270889</v>
      </c>
      <c r="C3154" s="83" t="s">
        <v>1959</v>
      </c>
      <c r="D3154" s="56" t="s">
        <v>988</v>
      </c>
      <c r="E3154" s="74"/>
    </row>
    <row r="3155" spans="1:5" ht="26.4" hidden="1">
      <c r="A3155" s="45"/>
      <c r="B3155" s="56">
        <v>270890</v>
      </c>
      <c r="C3155" s="83" t="s">
        <v>1960</v>
      </c>
      <c r="D3155" s="56" t="s">
        <v>988</v>
      </c>
      <c r="E3155" s="74"/>
    </row>
    <row r="3156" spans="1:5" ht="26.4" hidden="1">
      <c r="A3156" s="45"/>
      <c r="B3156" s="56">
        <v>270891</v>
      </c>
      <c r="C3156" s="83" t="s">
        <v>1961</v>
      </c>
      <c r="D3156" s="56" t="s">
        <v>988</v>
      </c>
      <c r="E3156" s="74"/>
    </row>
    <row r="3157" spans="1:5" ht="26.4" hidden="1">
      <c r="A3157" s="45"/>
      <c r="B3157" s="56">
        <v>270892</v>
      </c>
      <c r="C3157" s="83" t="s">
        <v>1962</v>
      </c>
      <c r="D3157" s="56" t="s">
        <v>988</v>
      </c>
      <c r="E3157" s="74"/>
    </row>
    <row r="3158" spans="1:5" ht="26.4" hidden="1">
      <c r="A3158" s="45"/>
      <c r="B3158" s="56">
        <v>271098</v>
      </c>
      <c r="C3158" s="83" t="s">
        <v>1963</v>
      </c>
      <c r="D3158" s="56" t="s">
        <v>988</v>
      </c>
      <c r="E3158" s="74"/>
    </row>
    <row r="3159" spans="1:5" ht="26.4" hidden="1">
      <c r="A3159" s="45"/>
      <c r="B3159" s="56">
        <v>271099</v>
      </c>
      <c r="C3159" s="83" t="s">
        <v>1964</v>
      </c>
      <c r="D3159" s="56" t="s">
        <v>988</v>
      </c>
      <c r="E3159" s="74"/>
    </row>
    <row r="3160" spans="1:5" ht="26.4" hidden="1">
      <c r="A3160" s="45"/>
      <c r="B3160" s="56">
        <v>271100</v>
      </c>
      <c r="C3160" s="83" t="s">
        <v>1965</v>
      </c>
      <c r="D3160" s="56" t="s">
        <v>988</v>
      </c>
      <c r="E3160" s="74"/>
    </row>
    <row r="3161" spans="1:5" ht="26.4" hidden="1">
      <c r="A3161" s="45"/>
      <c r="B3161" s="56">
        <v>271101</v>
      </c>
      <c r="C3161" s="83" t="s">
        <v>1966</v>
      </c>
      <c r="D3161" s="56" t="s">
        <v>988</v>
      </c>
      <c r="E3161" s="74"/>
    </row>
    <row r="3162" spans="1:5" ht="26.4" hidden="1">
      <c r="A3162" s="45"/>
      <c r="B3162" s="56">
        <v>271102</v>
      </c>
      <c r="C3162" s="83" t="s">
        <v>1967</v>
      </c>
      <c r="D3162" s="56" t="s">
        <v>988</v>
      </c>
      <c r="E3162" s="74"/>
    </row>
    <row r="3163" spans="1:5" ht="26.4" hidden="1">
      <c r="A3163" s="45"/>
      <c r="B3163" s="56">
        <v>271103</v>
      </c>
      <c r="C3163" s="83" t="s">
        <v>1968</v>
      </c>
      <c r="D3163" s="56" t="s">
        <v>988</v>
      </c>
      <c r="E3163" s="74"/>
    </row>
    <row r="3164" spans="1:5" ht="26.4" hidden="1">
      <c r="A3164" s="45"/>
      <c r="B3164" s="56">
        <v>271105</v>
      </c>
      <c r="C3164" s="83" t="s">
        <v>1969</v>
      </c>
      <c r="D3164" s="56" t="s">
        <v>988</v>
      </c>
      <c r="E3164" s="74"/>
    </row>
    <row r="3165" spans="1:5" ht="26.4" hidden="1">
      <c r="A3165" s="45"/>
      <c r="B3165" s="56">
        <v>271106</v>
      </c>
      <c r="C3165" s="83" t="s">
        <v>1970</v>
      </c>
      <c r="D3165" s="56" t="s">
        <v>988</v>
      </c>
      <c r="E3165" s="74"/>
    </row>
    <row r="3166" spans="1:5" hidden="1">
      <c r="A3166" s="45"/>
      <c r="B3166" s="56">
        <v>271201</v>
      </c>
      <c r="C3166" s="83" t="s">
        <v>1971</v>
      </c>
      <c r="D3166" s="56" t="s">
        <v>2930</v>
      </c>
      <c r="E3166" s="74"/>
    </row>
    <row r="3167" spans="1:5" hidden="1">
      <c r="A3167" s="45"/>
      <c r="B3167" s="56">
        <v>271204</v>
      </c>
      <c r="C3167" s="83" t="s">
        <v>1972</v>
      </c>
      <c r="D3167" s="56" t="s">
        <v>2930</v>
      </c>
      <c r="E3167" s="74"/>
    </row>
    <row r="3168" spans="1:5" hidden="1">
      <c r="A3168" s="45"/>
      <c r="B3168" s="56">
        <v>271208</v>
      </c>
      <c r="C3168" s="83" t="s">
        <v>1973</v>
      </c>
      <c r="D3168" s="56" t="s">
        <v>2930</v>
      </c>
      <c r="E3168" s="74"/>
    </row>
    <row r="3169" spans="1:5" hidden="1">
      <c r="A3169" s="45"/>
      <c r="B3169" s="56">
        <v>271210</v>
      </c>
      <c r="C3169" s="83" t="s">
        <v>1974</v>
      </c>
      <c r="D3169" s="56" t="s">
        <v>12</v>
      </c>
      <c r="E3169" s="74"/>
    </row>
    <row r="3170" spans="1:5" ht="26.4" hidden="1">
      <c r="A3170" s="45"/>
      <c r="B3170" s="56">
        <v>271303</v>
      </c>
      <c r="C3170" s="83" t="s">
        <v>1975</v>
      </c>
      <c r="D3170" s="56" t="s">
        <v>39</v>
      </c>
      <c r="E3170" s="74"/>
    </row>
    <row r="3171" spans="1:5" hidden="1">
      <c r="A3171" s="45"/>
      <c r="B3171" s="56">
        <v>271304</v>
      </c>
      <c r="C3171" s="83" t="s">
        <v>1976</v>
      </c>
      <c r="D3171" s="56" t="s">
        <v>12</v>
      </c>
      <c r="E3171" s="106"/>
    </row>
    <row r="3172" spans="1:5" hidden="1">
      <c r="A3172" s="45"/>
      <c r="B3172" s="56">
        <v>271305</v>
      </c>
      <c r="C3172" s="83" t="s">
        <v>1977</v>
      </c>
      <c r="D3172" s="56" t="s">
        <v>39</v>
      </c>
      <c r="E3172" s="74"/>
    </row>
    <row r="3173" spans="1:5" hidden="1">
      <c r="A3173" s="45"/>
      <c r="B3173" s="56">
        <v>271306</v>
      </c>
      <c r="C3173" s="83" t="s">
        <v>1978</v>
      </c>
      <c r="D3173" s="56" t="s">
        <v>136</v>
      </c>
      <c r="E3173" s="74"/>
    </row>
    <row r="3174" spans="1:5" ht="26.4" hidden="1">
      <c r="A3174" s="45"/>
      <c r="B3174" s="56">
        <v>271307</v>
      </c>
      <c r="C3174" s="83" t="s">
        <v>1979</v>
      </c>
      <c r="D3174" s="56" t="s">
        <v>136</v>
      </c>
      <c r="E3174" s="74"/>
    </row>
    <row r="3175" spans="1:5" ht="26.4" hidden="1">
      <c r="A3175" s="45"/>
      <c r="B3175" s="56">
        <v>271408</v>
      </c>
      <c r="C3175" s="83" t="s">
        <v>1980</v>
      </c>
      <c r="D3175" s="56" t="s">
        <v>39</v>
      </c>
      <c r="E3175" s="74"/>
    </row>
    <row r="3176" spans="1:5" ht="26.4" hidden="1">
      <c r="A3176" s="45"/>
      <c r="B3176" s="56">
        <v>271409</v>
      </c>
      <c r="C3176" s="83" t="s">
        <v>1981</v>
      </c>
      <c r="D3176" s="56" t="s">
        <v>39</v>
      </c>
      <c r="E3176" s="74"/>
    </row>
    <row r="3177" spans="1:5" ht="26.4" hidden="1">
      <c r="A3177" s="45"/>
      <c r="B3177" s="56">
        <v>271417</v>
      </c>
      <c r="C3177" s="83" t="s">
        <v>1982</v>
      </c>
      <c r="D3177" s="56" t="s">
        <v>39</v>
      </c>
      <c r="E3177" s="74"/>
    </row>
    <row r="3178" spans="1:5">
      <c r="A3178" s="96" t="s">
        <v>3695</v>
      </c>
      <c r="B3178" s="56">
        <v>271500</v>
      </c>
      <c r="C3178" s="83" t="s">
        <v>1983</v>
      </c>
      <c r="D3178" s="56" t="s">
        <v>1984</v>
      </c>
      <c r="E3178" s="74">
        <f>ROUND((SUM(E3180)),2)</f>
        <v>544</v>
      </c>
    </row>
    <row r="3179" spans="1:5" ht="92.4">
      <c r="A3179" s="45"/>
      <c r="B3179" s="56"/>
      <c r="C3179" s="103" t="s">
        <v>3327</v>
      </c>
      <c r="D3179" s="56"/>
      <c r="E3179" s="74"/>
    </row>
    <row r="3180" spans="1:5" ht="22.8">
      <c r="A3180" s="45"/>
      <c r="B3180" s="56"/>
      <c r="C3180" s="104" t="s">
        <v>3328</v>
      </c>
      <c r="D3180" s="99" t="s">
        <v>1984</v>
      </c>
      <c r="E3180" s="101">
        <f>8*8*22*4*0.85/8.8</f>
        <v>543.99999999999989</v>
      </c>
    </row>
    <row r="3181" spans="1:5">
      <c r="A3181" s="45"/>
      <c r="B3181" s="56"/>
      <c r="C3181" s="83"/>
      <c r="D3181" s="56"/>
      <c r="E3181" s="74"/>
    </row>
    <row r="3182" spans="1:5">
      <c r="A3182" s="96" t="s">
        <v>3696</v>
      </c>
      <c r="B3182" s="56">
        <v>271502</v>
      </c>
      <c r="C3182" s="83" t="s">
        <v>1985</v>
      </c>
      <c r="D3182" s="56" t="s">
        <v>1984</v>
      </c>
      <c r="E3182" s="74">
        <f>ROUND((SUM(E3184)),2)</f>
        <v>544</v>
      </c>
    </row>
    <row r="3183" spans="1:5" ht="92.4">
      <c r="A3183" s="45"/>
      <c r="B3183" s="56"/>
      <c r="C3183" s="103" t="s">
        <v>3327</v>
      </c>
      <c r="D3183" s="56"/>
      <c r="E3183" s="74"/>
    </row>
    <row r="3184" spans="1:5" ht="22.8">
      <c r="A3184" s="45"/>
      <c r="B3184" s="56"/>
      <c r="C3184" s="104" t="s">
        <v>3328</v>
      </c>
      <c r="D3184" s="99" t="s">
        <v>1984</v>
      </c>
      <c r="E3184" s="101">
        <f>8*8*22*4*0.85/8.8</f>
        <v>543.99999999999989</v>
      </c>
    </row>
    <row r="3185" spans="1:6">
      <c r="A3185" s="45"/>
      <c r="B3185" s="56"/>
      <c r="C3185" s="83"/>
      <c r="D3185" s="56"/>
      <c r="E3185" s="74"/>
    </row>
    <row r="3186" spans="1:6" ht="26.4" hidden="1">
      <c r="A3186" s="45"/>
      <c r="B3186" s="56">
        <v>271507</v>
      </c>
      <c r="C3186" s="83" t="s">
        <v>1986</v>
      </c>
      <c r="D3186" s="56" t="s">
        <v>2930</v>
      </c>
      <c r="E3186" s="74"/>
    </row>
    <row r="3187" spans="1:6" ht="26.4" hidden="1">
      <c r="A3187" s="45"/>
      <c r="B3187" s="56">
        <v>271508</v>
      </c>
      <c r="C3187" s="83" t="s">
        <v>1987</v>
      </c>
      <c r="D3187" s="56" t="s">
        <v>136</v>
      </c>
      <c r="E3187" s="74">
        <f>E3188</f>
        <v>0</v>
      </c>
    </row>
    <row r="3188" spans="1:6" ht="26.4" hidden="1">
      <c r="A3188" s="45"/>
      <c r="B3188" s="56">
        <v>271509</v>
      </c>
      <c r="C3188" s="83" t="s">
        <v>1988</v>
      </c>
      <c r="D3188" s="56" t="s">
        <v>136</v>
      </c>
      <c r="E3188" s="74"/>
    </row>
    <row r="3189" spans="1:6" hidden="1">
      <c r="A3189" s="45"/>
      <c r="B3189" s="56">
        <v>271605</v>
      </c>
      <c r="C3189" s="83" t="s">
        <v>1989</v>
      </c>
      <c r="D3189" s="56" t="s">
        <v>2930</v>
      </c>
      <c r="E3189" s="74"/>
    </row>
    <row r="3190" spans="1:6" hidden="1">
      <c r="A3190" s="45"/>
      <c r="B3190" s="56">
        <v>271608</v>
      </c>
      <c r="C3190" s="83" t="s">
        <v>1990</v>
      </c>
      <c r="D3190" s="56" t="s">
        <v>12</v>
      </c>
      <c r="E3190" s="74"/>
    </row>
    <row r="3191" spans="1:6" hidden="1">
      <c r="A3191" s="45"/>
      <c r="B3191" s="56">
        <v>271609</v>
      </c>
      <c r="C3191" s="83" t="s">
        <v>1991</v>
      </c>
      <c r="D3191" s="56" t="s">
        <v>12</v>
      </c>
      <c r="E3191" s="74"/>
    </row>
    <row r="3192" spans="1:6" hidden="1">
      <c r="A3192" s="45"/>
      <c r="B3192" s="56">
        <v>271701</v>
      </c>
      <c r="C3192" s="83" t="s">
        <v>1992</v>
      </c>
      <c r="D3192" s="56" t="s">
        <v>12</v>
      </c>
      <c r="E3192" s="74"/>
    </row>
    <row r="3193" spans="1:6" s="47" customFormat="1" ht="13.2" hidden="1">
      <c r="A3193" s="45"/>
      <c r="B3193" s="56">
        <v>271702</v>
      </c>
      <c r="C3193" s="83" t="s">
        <v>1993</v>
      </c>
      <c r="D3193" s="56" t="s">
        <v>12</v>
      </c>
      <c r="E3193" s="74"/>
      <c r="F3193" s="163"/>
    </row>
    <row r="3194" spans="1:6" ht="52.8" hidden="1">
      <c r="A3194" s="45"/>
      <c r="B3194" s="56">
        <v>271708</v>
      </c>
      <c r="C3194" s="83" t="s">
        <v>1994</v>
      </c>
      <c r="D3194" s="56" t="s">
        <v>39</v>
      </c>
      <c r="E3194" s="74"/>
    </row>
    <row r="3195" spans="1:6" ht="66" hidden="1">
      <c r="A3195" s="45"/>
      <c r="B3195" s="56">
        <v>271711</v>
      </c>
      <c r="C3195" s="83" t="s">
        <v>1995</v>
      </c>
      <c r="D3195" s="56" t="s">
        <v>39</v>
      </c>
      <c r="E3195" s="74"/>
    </row>
    <row r="3196" spans="1:6" ht="66" hidden="1">
      <c r="A3196" s="45"/>
      <c r="B3196" s="56">
        <v>271712</v>
      </c>
      <c r="C3196" s="83" t="s">
        <v>1996</v>
      </c>
      <c r="D3196" s="56" t="s">
        <v>39</v>
      </c>
      <c r="E3196" s="74"/>
    </row>
    <row r="3197" spans="1:6" ht="52.8" hidden="1">
      <c r="A3197" s="45"/>
      <c r="B3197" s="56">
        <v>271713</v>
      </c>
      <c r="C3197" s="83" t="s">
        <v>1997</v>
      </c>
      <c r="D3197" s="56" t="s">
        <v>136</v>
      </c>
      <c r="E3197" s="74"/>
    </row>
    <row r="3198" spans="1:6" ht="66" hidden="1">
      <c r="A3198" s="45"/>
      <c r="B3198" s="56">
        <v>271714</v>
      </c>
      <c r="C3198" s="83" t="s">
        <v>1998</v>
      </c>
      <c r="D3198" s="56" t="s">
        <v>39</v>
      </c>
      <c r="E3198" s="74"/>
    </row>
    <row r="3199" spans="1:6" ht="52.8" hidden="1">
      <c r="A3199" s="45"/>
      <c r="B3199" s="56">
        <v>271715</v>
      </c>
      <c r="C3199" s="83" t="s">
        <v>1999</v>
      </c>
      <c r="D3199" s="56" t="s">
        <v>39</v>
      </c>
      <c r="E3199" s="74"/>
    </row>
    <row r="3200" spans="1:6" hidden="1">
      <c r="A3200" s="45"/>
      <c r="B3200" s="56">
        <v>271716</v>
      </c>
      <c r="C3200" s="83" t="s">
        <v>2000</v>
      </c>
      <c r="D3200" s="56" t="s">
        <v>12</v>
      </c>
      <c r="E3200" s="74"/>
    </row>
    <row r="3201" spans="1:6" hidden="1">
      <c r="A3201" s="45"/>
      <c r="B3201" s="56">
        <v>271717</v>
      </c>
      <c r="C3201" s="83" t="s">
        <v>2001</v>
      </c>
      <c r="D3201" s="56" t="s">
        <v>12</v>
      </c>
      <c r="E3201" s="74"/>
    </row>
    <row r="3202" spans="1:6" hidden="1">
      <c r="A3202" s="45"/>
      <c r="B3202" s="56">
        <v>271718</v>
      </c>
      <c r="C3202" s="83" t="s">
        <v>2002</v>
      </c>
      <c r="D3202" s="56" t="s">
        <v>12</v>
      </c>
      <c r="E3202" s="74"/>
    </row>
    <row r="3203" spans="1:6" hidden="1">
      <c r="A3203" s="45"/>
      <c r="B3203" s="56">
        <v>271801</v>
      </c>
      <c r="C3203" s="83" t="s">
        <v>2003</v>
      </c>
      <c r="D3203" s="56" t="s">
        <v>12</v>
      </c>
      <c r="E3203" s="74"/>
    </row>
    <row r="3204" spans="1:6" hidden="1">
      <c r="A3204" s="45"/>
      <c r="B3204" s="56">
        <v>271802</v>
      </c>
      <c r="C3204" s="83" t="s">
        <v>2004</v>
      </c>
      <c r="D3204" s="56" t="s">
        <v>12</v>
      </c>
      <c r="E3204" s="74"/>
    </row>
    <row r="3205" spans="1:6" hidden="1">
      <c r="A3205" s="45"/>
      <c r="B3205" s="56">
        <v>271803</v>
      </c>
      <c r="C3205" s="83" t="s">
        <v>2005</v>
      </c>
      <c r="D3205" s="56" t="s">
        <v>12</v>
      </c>
      <c r="E3205" s="74"/>
    </row>
    <row r="3206" spans="1:6" hidden="1">
      <c r="A3206" s="45"/>
      <c r="B3206" s="56">
        <v>271850</v>
      </c>
      <c r="C3206" s="83" t="s">
        <v>2006</v>
      </c>
      <c r="D3206" s="56" t="s">
        <v>39</v>
      </c>
      <c r="E3206" s="74"/>
    </row>
    <row r="3207" spans="1:6" hidden="1">
      <c r="A3207" s="45"/>
      <c r="B3207" s="56">
        <v>271851</v>
      </c>
      <c r="C3207" s="83" t="s">
        <v>2007</v>
      </c>
      <c r="D3207" s="56" t="s">
        <v>39</v>
      </c>
      <c r="E3207" s="74"/>
    </row>
    <row r="3208" spans="1:6" hidden="1">
      <c r="A3208" s="45"/>
      <c r="B3208" s="56">
        <v>271852</v>
      </c>
      <c r="C3208" s="83" t="s">
        <v>2008</v>
      </c>
      <c r="D3208" s="56" t="s">
        <v>39</v>
      </c>
      <c r="E3208" s="74"/>
    </row>
    <row r="3209" spans="1:6" hidden="1">
      <c r="A3209" s="45"/>
      <c r="B3209" s="56">
        <v>271853</v>
      </c>
      <c r="C3209" s="83" t="s">
        <v>2009</v>
      </c>
      <c r="D3209" s="56" t="s">
        <v>39</v>
      </c>
      <c r="E3209" s="74"/>
    </row>
    <row r="3210" spans="1:6" ht="26.4" hidden="1">
      <c r="A3210" s="45"/>
      <c r="B3210" s="56" t="s">
        <v>2010</v>
      </c>
      <c r="C3210" s="83" t="s">
        <v>2011</v>
      </c>
      <c r="D3210" s="56" t="s">
        <v>12</v>
      </c>
      <c r="E3210" s="74"/>
    </row>
    <row r="3211" spans="1:6" hidden="1">
      <c r="A3211" s="96"/>
      <c r="B3211" s="97"/>
      <c r="C3211" s="103"/>
      <c r="D3211" s="97"/>
      <c r="E3211" s="74"/>
      <c r="F3211" s="254"/>
    </row>
    <row r="3212" spans="1:6" hidden="1">
      <c r="A3212" s="98"/>
      <c r="B3212" s="99"/>
      <c r="C3212" s="104"/>
      <c r="D3212" s="99"/>
      <c r="E3212" s="101"/>
      <c r="F3212" s="185"/>
    </row>
    <row r="3213" spans="1:6" hidden="1">
      <c r="A3213" s="98"/>
      <c r="B3213" s="99"/>
      <c r="C3213" s="104"/>
      <c r="D3213" s="99"/>
      <c r="E3213" s="101"/>
      <c r="F3213" s="185"/>
    </row>
    <row r="3214" spans="1:6" hidden="1">
      <c r="A3214" s="241"/>
      <c r="B3214" s="242"/>
      <c r="C3214" s="243"/>
      <c r="D3214" s="244"/>
      <c r="E3214" s="245"/>
      <c r="F3214" s="185"/>
    </row>
    <row r="3215" spans="1:6" hidden="1">
      <c r="A3215" s="96"/>
      <c r="B3215" s="97"/>
      <c r="C3215" s="103"/>
      <c r="D3215" s="97"/>
      <c r="E3215" s="74"/>
      <c r="F3215" s="254"/>
    </row>
    <row r="3216" spans="1:6" hidden="1">
      <c r="A3216" s="98"/>
      <c r="B3216" s="99"/>
      <c r="C3216" s="104"/>
      <c r="D3216" s="99"/>
      <c r="E3216" s="101"/>
      <c r="F3216" s="185"/>
    </row>
    <row r="3217" spans="1:6" hidden="1">
      <c r="A3217" s="98"/>
      <c r="B3217" s="99"/>
      <c r="C3217" s="104"/>
      <c r="D3217" s="99"/>
      <c r="E3217" s="101"/>
      <c r="F3217" s="185"/>
    </row>
    <row r="3218" spans="1:6" hidden="1">
      <c r="A3218" s="98"/>
      <c r="B3218" s="99"/>
      <c r="C3218" s="104"/>
      <c r="D3218" s="99"/>
      <c r="E3218" s="101"/>
      <c r="F3218" s="185"/>
    </row>
    <row r="3219" spans="1:6" ht="23.4" hidden="1" customHeight="1">
      <c r="A3219" s="98"/>
      <c r="B3219" s="99"/>
      <c r="C3219" s="104"/>
      <c r="D3219" s="99"/>
      <c r="E3219" s="101"/>
      <c r="F3219" s="185"/>
    </row>
    <row r="3220" spans="1:6" hidden="1">
      <c r="A3220" s="98"/>
      <c r="B3220" s="99"/>
      <c r="C3220" s="104"/>
      <c r="D3220" s="99"/>
      <c r="E3220" s="101"/>
      <c r="F3220" s="185"/>
    </row>
    <row r="3221" spans="1:6" hidden="1">
      <c r="A3221" s="98"/>
      <c r="B3221" s="99"/>
      <c r="C3221" s="104"/>
      <c r="D3221" s="99"/>
      <c r="E3221" s="101"/>
      <c r="F3221" s="185"/>
    </row>
    <row r="3222" spans="1:6" hidden="1">
      <c r="A3222" s="98"/>
      <c r="B3222" s="99"/>
      <c r="C3222" s="104"/>
      <c r="D3222" s="99"/>
      <c r="E3222" s="101"/>
      <c r="F3222" s="185"/>
    </row>
    <row r="3223" spans="1:6" hidden="1">
      <c r="A3223" s="98"/>
      <c r="B3223" s="99"/>
      <c r="C3223" s="104"/>
      <c r="D3223" s="99"/>
      <c r="E3223" s="101"/>
      <c r="F3223" s="185"/>
    </row>
    <row r="3224" spans="1:6" hidden="1">
      <c r="A3224" s="98"/>
      <c r="B3224" s="99"/>
      <c r="C3224" s="104"/>
      <c r="D3224" s="99"/>
      <c r="E3224" s="101"/>
      <c r="F3224" s="185"/>
    </row>
    <row r="3225" spans="1:6" hidden="1">
      <c r="A3225" s="98"/>
      <c r="B3225" s="99"/>
      <c r="C3225" s="104"/>
      <c r="D3225" s="99"/>
      <c r="E3225" s="101"/>
      <c r="F3225" s="185"/>
    </row>
    <row r="3226" spans="1:6" hidden="1">
      <c r="A3226" s="98"/>
      <c r="B3226" s="99"/>
      <c r="C3226" s="104"/>
      <c r="D3226" s="99"/>
      <c r="E3226" s="101"/>
      <c r="F3226" s="185"/>
    </row>
    <row r="3227" spans="1:6" hidden="1">
      <c r="A3227" s="98"/>
      <c r="B3227" s="99"/>
      <c r="C3227" s="104"/>
      <c r="D3227" s="99"/>
      <c r="E3227" s="101"/>
      <c r="F3227" s="185"/>
    </row>
    <row r="3228" spans="1:6" hidden="1">
      <c r="A3228" s="98"/>
      <c r="B3228" s="99"/>
      <c r="C3228" s="104"/>
      <c r="D3228" s="99"/>
      <c r="E3228" s="101"/>
      <c r="F3228" s="185"/>
    </row>
    <row r="3229" spans="1:6" hidden="1">
      <c r="A3229" s="45"/>
      <c r="B3229" s="56"/>
      <c r="C3229" s="83"/>
      <c r="D3229" s="56"/>
      <c r="E3229" s="74"/>
      <c r="F3229" s="185"/>
    </row>
    <row r="3230" spans="1:6">
      <c r="A3230" s="96" t="s">
        <v>3697</v>
      </c>
      <c r="B3230" s="97" t="s">
        <v>3771</v>
      </c>
      <c r="C3230" s="83" t="s">
        <v>2707</v>
      </c>
      <c r="D3230" s="56" t="s">
        <v>2708</v>
      </c>
      <c r="E3230" s="74">
        <f>ROUND(SUM(E3232:E3233),2)</f>
        <v>160</v>
      </c>
      <c r="F3230" s="185"/>
    </row>
    <row r="3231" spans="1:6" s="47" customFormat="1" ht="12">
      <c r="A3231" s="98"/>
      <c r="B3231" s="99"/>
      <c r="C3231" s="107" t="s">
        <v>2709</v>
      </c>
      <c r="D3231" s="99"/>
      <c r="E3231" s="101"/>
      <c r="F3231" s="185"/>
    </row>
    <row r="3232" spans="1:6" s="47" customFormat="1" ht="22.8">
      <c r="A3232" s="98"/>
      <c r="B3232" s="99"/>
      <c r="C3232" s="104" t="s">
        <v>2710</v>
      </c>
      <c r="D3232" s="99" t="s">
        <v>2708</v>
      </c>
      <c r="E3232" s="101">
        <f>5*8*2</f>
        <v>80</v>
      </c>
      <c r="F3232" s="185"/>
    </row>
    <row r="3233" spans="1:6" s="47" customFormat="1" ht="22.8">
      <c r="A3233" s="98"/>
      <c r="B3233" s="99"/>
      <c r="C3233" s="104" t="s">
        <v>2711</v>
      </c>
      <c r="D3233" s="99" t="s">
        <v>2708</v>
      </c>
      <c r="E3233" s="101">
        <f>5*8*2</f>
        <v>80</v>
      </c>
      <c r="F3233" s="185"/>
    </row>
    <row r="3234" spans="1:6" s="47" customFormat="1" ht="12">
      <c r="A3234" s="93"/>
      <c r="B3234" s="108"/>
      <c r="C3234" s="109"/>
      <c r="D3234" s="108"/>
      <c r="E3234" s="101"/>
      <c r="F3234" s="163"/>
    </row>
    <row r="3235" spans="1:6" s="47" customFormat="1" ht="26.4">
      <c r="A3235" s="96" t="s">
        <v>3698</v>
      </c>
      <c r="B3235" s="97" t="s">
        <v>2838</v>
      </c>
      <c r="C3235" s="103" t="s">
        <v>2834</v>
      </c>
      <c r="D3235" s="97" t="s">
        <v>2489</v>
      </c>
      <c r="E3235" s="74">
        <f>ROUND(E3236,2)</f>
        <v>19</v>
      </c>
      <c r="F3235" s="163"/>
    </row>
    <row r="3236" spans="1:6" s="47" customFormat="1" ht="12">
      <c r="A3236" s="98"/>
      <c r="B3236" s="99"/>
      <c r="C3236" s="104" t="s">
        <v>2836</v>
      </c>
      <c r="D3236" s="99" t="s">
        <v>2489</v>
      </c>
      <c r="E3236" s="101">
        <v>19</v>
      </c>
      <c r="F3236" s="163"/>
    </row>
    <row r="3237" spans="1:6" s="47" customFormat="1" ht="13.2">
      <c r="A3237" s="45"/>
      <c r="B3237" s="56"/>
      <c r="C3237" s="83"/>
      <c r="D3237" s="56"/>
      <c r="E3237" s="74"/>
      <c r="F3237" s="163"/>
    </row>
    <row r="3238" spans="1:6" s="47" customFormat="1" ht="26.4">
      <c r="A3238" s="96" t="s">
        <v>3699</v>
      </c>
      <c r="B3238" s="97" t="s">
        <v>2856</v>
      </c>
      <c r="C3238" s="103" t="s">
        <v>2835</v>
      </c>
      <c r="D3238" s="97" t="s">
        <v>2489</v>
      </c>
      <c r="E3238" s="74">
        <f>ROUND(E3239+E3240,2)</f>
        <v>7</v>
      </c>
      <c r="F3238" s="163"/>
    </row>
    <row r="3239" spans="1:6" s="47" customFormat="1" ht="12">
      <c r="A3239" s="98"/>
      <c r="B3239" s="99"/>
      <c r="C3239" s="104" t="s">
        <v>2837</v>
      </c>
      <c r="D3239" s="99" t="s">
        <v>2489</v>
      </c>
      <c r="E3239" s="101">
        <v>6</v>
      </c>
      <c r="F3239" s="163"/>
    </row>
    <row r="3240" spans="1:6" s="47" customFormat="1" ht="12">
      <c r="A3240" s="93"/>
      <c r="B3240" s="108"/>
      <c r="C3240" s="109" t="s">
        <v>3296</v>
      </c>
      <c r="D3240" s="99" t="s">
        <v>2489</v>
      </c>
      <c r="E3240" s="101">
        <v>1</v>
      </c>
      <c r="F3240" s="163"/>
    </row>
    <row r="3241" spans="1:6" s="47" customFormat="1" ht="12">
      <c r="A3241" s="93"/>
      <c r="B3241" s="108"/>
      <c r="C3241" s="109"/>
      <c r="D3241" s="108"/>
      <c r="E3241" s="101"/>
      <c r="F3241" s="163"/>
    </row>
    <row r="3242" spans="1:6" s="47" customFormat="1" ht="13.2">
      <c r="A3242" s="91" t="s">
        <v>3700</v>
      </c>
      <c r="B3242" s="110" t="s">
        <v>2869</v>
      </c>
      <c r="C3242" s="111" t="s">
        <v>2868</v>
      </c>
      <c r="D3242" s="110" t="s">
        <v>2489</v>
      </c>
      <c r="E3242" s="74">
        <f>ROUND(SUM(E3244:E3253),2)</f>
        <v>10</v>
      </c>
      <c r="F3242" s="163"/>
    </row>
    <row r="3243" spans="1:6" s="47" customFormat="1" ht="12">
      <c r="A3243" s="93"/>
      <c r="B3243" s="108"/>
      <c r="C3243" s="100" t="s">
        <v>2871</v>
      </c>
      <c r="D3243" s="108"/>
      <c r="E3243" s="101"/>
      <c r="F3243" s="163"/>
    </row>
    <row r="3244" spans="1:6" s="47" customFormat="1" ht="12">
      <c r="A3244" s="93"/>
      <c r="B3244" s="108"/>
      <c r="C3244" s="109" t="s">
        <v>2691</v>
      </c>
      <c r="D3244" s="108" t="s">
        <v>2489</v>
      </c>
      <c r="E3244" s="101">
        <v>1</v>
      </c>
      <c r="F3244" s="163"/>
    </row>
    <row r="3245" spans="1:6" s="47" customFormat="1" ht="12">
      <c r="A3245" s="93"/>
      <c r="B3245" s="108"/>
      <c r="C3245" s="109" t="s">
        <v>2870</v>
      </c>
      <c r="D3245" s="108" t="s">
        <v>2489</v>
      </c>
      <c r="E3245" s="101">
        <v>1</v>
      </c>
      <c r="F3245" s="163"/>
    </row>
    <row r="3246" spans="1:6" s="47" customFormat="1" ht="12">
      <c r="A3246" s="93"/>
      <c r="B3246" s="108"/>
      <c r="C3246" s="109" t="s">
        <v>2690</v>
      </c>
      <c r="D3246" s="108" t="s">
        <v>2489</v>
      </c>
      <c r="E3246" s="101">
        <v>1</v>
      </c>
      <c r="F3246" s="163"/>
    </row>
    <row r="3247" spans="1:6" s="47" customFormat="1" ht="12">
      <c r="A3247" s="93"/>
      <c r="B3247" s="108"/>
      <c r="C3247" s="109" t="s">
        <v>2692</v>
      </c>
      <c r="D3247" s="108" t="s">
        <v>2489</v>
      </c>
      <c r="E3247" s="101">
        <v>1</v>
      </c>
      <c r="F3247" s="163"/>
    </row>
    <row r="3248" spans="1:6" s="47" customFormat="1" ht="12">
      <c r="A3248" s="93"/>
      <c r="B3248" s="108"/>
      <c r="C3248" s="109" t="s">
        <v>2511</v>
      </c>
      <c r="D3248" s="108" t="s">
        <v>2489</v>
      </c>
      <c r="E3248" s="101">
        <v>1</v>
      </c>
      <c r="F3248" s="163"/>
    </row>
    <row r="3249" spans="1:6" s="47" customFormat="1" ht="12">
      <c r="A3249" s="93"/>
      <c r="B3249" s="108"/>
      <c r="C3249" s="109" t="s">
        <v>2512</v>
      </c>
      <c r="D3249" s="108" t="s">
        <v>2489</v>
      </c>
      <c r="E3249" s="101">
        <v>1</v>
      </c>
      <c r="F3249" s="163"/>
    </row>
    <row r="3250" spans="1:6" s="47" customFormat="1" ht="12">
      <c r="A3250" s="93"/>
      <c r="B3250" s="108"/>
      <c r="C3250" s="109" t="s">
        <v>2513</v>
      </c>
      <c r="D3250" s="108" t="s">
        <v>2489</v>
      </c>
      <c r="E3250" s="101">
        <v>1</v>
      </c>
      <c r="F3250" s="163"/>
    </row>
    <row r="3251" spans="1:6" s="47" customFormat="1" ht="12">
      <c r="A3251" s="93"/>
      <c r="B3251" s="108"/>
      <c r="C3251" s="109" t="s">
        <v>2514</v>
      </c>
      <c r="D3251" s="108" t="s">
        <v>2489</v>
      </c>
      <c r="E3251" s="101">
        <v>1</v>
      </c>
      <c r="F3251" s="163"/>
    </row>
    <row r="3252" spans="1:6" s="47" customFormat="1" ht="12">
      <c r="A3252" s="93"/>
      <c r="B3252" s="108"/>
      <c r="C3252" s="109" t="s">
        <v>2515</v>
      </c>
      <c r="D3252" s="108" t="s">
        <v>2489</v>
      </c>
      <c r="E3252" s="101">
        <v>1</v>
      </c>
      <c r="F3252" s="163"/>
    </row>
    <row r="3253" spans="1:6" s="47" customFormat="1" ht="12">
      <c r="A3253" s="93"/>
      <c r="B3253" s="108"/>
      <c r="C3253" s="109" t="s">
        <v>2516</v>
      </c>
      <c r="D3253" s="108" t="s">
        <v>2489</v>
      </c>
      <c r="E3253" s="101">
        <v>1</v>
      </c>
      <c r="F3253" s="163"/>
    </row>
    <row r="3254" spans="1:6">
      <c r="A3254" s="45"/>
      <c r="B3254" s="56"/>
      <c r="C3254" s="104"/>
      <c r="D3254" s="99"/>
      <c r="E3254" s="105"/>
    </row>
    <row r="3255" spans="1:6" ht="26.4">
      <c r="A3255" s="96" t="s">
        <v>3701</v>
      </c>
      <c r="B3255" s="97" t="s">
        <v>2884</v>
      </c>
      <c r="C3255" s="103" t="s">
        <v>2883</v>
      </c>
      <c r="D3255" s="97" t="s">
        <v>2489</v>
      </c>
      <c r="E3255" s="74">
        <f>ROUND(SUM(E3257:E3271),2)</f>
        <v>18</v>
      </c>
    </row>
    <row r="3256" spans="1:6">
      <c r="A3256" s="98"/>
      <c r="B3256" s="99"/>
      <c r="C3256" s="100" t="s">
        <v>2704</v>
      </c>
      <c r="D3256" s="99"/>
      <c r="E3256" s="105"/>
    </row>
    <row r="3257" spans="1:6" s="47" customFormat="1" ht="12">
      <c r="A3257" s="93"/>
      <c r="B3257" s="99"/>
      <c r="C3257" s="102" t="s">
        <v>2691</v>
      </c>
      <c r="D3257" s="99" t="s">
        <v>2489</v>
      </c>
      <c r="E3257" s="101">
        <v>1</v>
      </c>
      <c r="F3257" s="163"/>
    </row>
    <row r="3258" spans="1:6" s="47" customFormat="1" ht="12">
      <c r="A3258" s="93"/>
      <c r="B3258" s="99"/>
      <c r="C3258" s="102" t="s">
        <v>2509</v>
      </c>
      <c r="D3258" s="99" t="s">
        <v>2489</v>
      </c>
      <c r="E3258" s="101">
        <v>1</v>
      </c>
      <c r="F3258" s="163"/>
    </row>
    <row r="3259" spans="1:6" s="47" customFormat="1" ht="12">
      <c r="A3259" s="93"/>
      <c r="B3259" s="99"/>
      <c r="C3259" s="102" t="s">
        <v>2690</v>
      </c>
      <c r="D3259" s="99" t="s">
        <v>2489</v>
      </c>
      <c r="E3259" s="101">
        <v>1</v>
      </c>
      <c r="F3259" s="163"/>
    </row>
    <row r="3260" spans="1:6" s="47" customFormat="1" ht="12">
      <c r="A3260" s="93"/>
      <c r="B3260" s="99"/>
      <c r="C3260" s="102" t="s">
        <v>2692</v>
      </c>
      <c r="D3260" s="99" t="s">
        <v>2489</v>
      </c>
      <c r="E3260" s="101">
        <v>1</v>
      </c>
      <c r="F3260" s="163"/>
    </row>
    <row r="3261" spans="1:6" s="47" customFormat="1" ht="12">
      <c r="A3261" s="93"/>
      <c r="B3261" s="99"/>
      <c r="C3261" s="102" t="s">
        <v>2885</v>
      </c>
      <c r="D3261" s="99" t="s">
        <v>2489</v>
      </c>
      <c r="E3261" s="101">
        <v>1</v>
      </c>
      <c r="F3261" s="163"/>
    </row>
    <row r="3262" spans="1:6" s="47" customFormat="1" ht="12">
      <c r="A3262" s="93"/>
      <c r="B3262" s="99"/>
      <c r="C3262" s="102" t="s">
        <v>2886</v>
      </c>
      <c r="D3262" s="99" t="s">
        <v>2489</v>
      </c>
      <c r="E3262" s="101">
        <v>4</v>
      </c>
      <c r="F3262" s="163"/>
    </row>
    <row r="3263" spans="1:6" s="47" customFormat="1" ht="12">
      <c r="A3263" s="93"/>
      <c r="B3263" s="99"/>
      <c r="C3263" s="102" t="s">
        <v>2694</v>
      </c>
      <c r="D3263" s="99" t="s">
        <v>2489</v>
      </c>
      <c r="E3263" s="101">
        <v>1</v>
      </c>
      <c r="F3263" s="163"/>
    </row>
    <row r="3264" spans="1:6" s="47" customFormat="1" ht="12">
      <c r="A3264" s="93"/>
      <c r="B3264" s="99"/>
      <c r="C3264" s="102" t="s">
        <v>2695</v>
      </c>
      <c r="D3264" s="99" t="s">
        <v>2489</v>
      </c>
      <c r="E3264" s="101">
        <v>1</v>
      </c>
      <c r="F3264" s="163"/>
    </row>
    <row r="3265" spans="1:6" s="47" customFormat="1" ht="12">
      <c r="A3265" s="93"/>
      <c r="B3265" s="99"/>
      <c r="C3265" s="102" t="s">
        <v>2696</v>
      </c>
      <c r="D3265" s="99" t="s">
        <v>2489</v>
      </c>
      <c r="E3265" s="101">
        <v>1</v>
      </c>
      <c r="F3265" s="163"/>
    </row>
    <row r="3266" spans="1:6" s="47" customFormat="1" ht="12">
      <c r="A3266" s="93"/>
      <c r="B3266" s="99"/>
      <c r="C3266" s="102" t="s">
        <v>2697</v>
      </c>
      <c r="D3266" s="99" t="s">
        <v>2489</v>
      </c>
      <c r="E3266" s="101">
        <v>1</v>
      </c>
      <c r="F3266" s="163"/>
    </row>
    <row r="3267" spans="1:6" s="47" customFormat="1" ht="12">
      <c r="A3267" s="93"/>
      <c r="B3267" s="99"/>
      <c r="C3267" s="102" t="s">
        <v>2698</v>
      </c>
      <c r="D3267" s="99" t="s">
        <v>2489</v>
      </c>
      <c r="E3267" s="101">
        <v>1</v>
      </c>
      <c r="F3267" s="163"/>
    </row>
    <row r="3268" spans="1:6" s="47" customFormat="1" ht="12">
      <c r="A3268" s="93"/>
      <c r="B3268" s="99"/>
      <c r="C3268" s="102" t="s">
        <v>2699</v>
      </c>
      <c r="D3268" s="99" t="s">
        <v>2489</v>
      </c>
      <c r="E3268" s="101">
        <v>1</v>
      </c>
      <c r="F3268" s="163"/>
    </row>
    <row r="3269" spans="1:6" s="47" customFormat="1" ht="12">
      <c r="A3269" s="93"/>
      <c r="B3269" s="99"/>
      <c r="C3269" s="102" t="s">
        <v>2700</v>
      </c>
      <c r="D3269" s="99" t="s">
        <v>2489</v>
      </c>
      <c r="E3269" s="101">
        <v>1</v>
      </c>
      <c r="F3269" s="163"/>
    </row>
    <row r="3270" spans="1:6" s="47" customFormat="1" ht="12">
      <c r="A3270" s="93"/>
      <c r="B3270" s="99"/>
      <c r="C3270" s="102" t="s">
        <v>2701</v>
      </c>
      <c r="D3270" s="99" t="s">
        <v>2489</v>
      </c>
      <c r="E3270" s="101">
        <v>1</v>
      </c>
      <c r="F3270" s="163"/>
    </row>
    <row r="3271" spans="1:6">
      <c r="A3271" s="112"/>
      <c r="B3271" s="99"/>
      <c r="C3271" s="104" t="s">
        <v>2702</v>
      </c>
      <c r="D3271" s="99" t="s">
        <v>2489</v>
      </c>
      <c r="E3271" s="101">
        <v>1</v>
      </c>
    </row>
    <row r="3272" spans="1:6">
      <c r="A3272" s="112"/>
      <c r="B3272" s="99"/>
      <c r="C3272" s="104"/>
      <c r="D3272" s="99"/>
      <c r="E3272" s="101"/>
    </row>
    <row r="3273" spans="1:6" ht="52.8">
      <c r="A3273" s="93" t="s">
        <v>3702</v>
      </c>
      <c r="B3273" s="97" t="s">
        <v>2857</v>
      </c>
      <c r="C3273" s="103" t="s">
        <v>3297</v>
      </c>
      <c r="D3273" s="97" t="s">
        <v>2489</v>
      </c>
      <c r="E3273" s="74">
        <f>ROUND((SUM(E3274:E3275)),2)</f>
        <v>12</v>
      </c>
      <c r="F3273" s="225"/>
    </row>
    <row r="3274" spans="1:6">
      <c r="A3274" s="112"/>
      <c r="B3274" s="99"/>
      <c r="C3274" s="104" t="s">
        <v>3298</v>
      </c>
      <c r="D3274" s="99" t="s">
        <v>2489</v>
      </c>
      <c r="E3274" s="101">
        <v>6</v>
      </c>
      <c r="F3274" s="185"/>
    </row>
    <row r="3275" spans="1:6">
      <c r="A3275" s="112"/>
      <c r="B3275" s="99"/>
      <c r="C3275" s="104" t="s">
        <v>3299</v>
      </c>
      <c r="D3275" s="99" t="s">
        <v>2489</v>
      </c>
      <c r="E3275" s="101">
        <v>6</v>
      </c>
      <c r="F3275" s="185"/>
    </row>
    <row r="3276" spans="1:6">
      <c r="A3276" s="112"/>
      <c r="B3276" s="99"/>
      <c r="C3276" s="104"/>
      <c r="D3276" s="99"/>
      <c r="E3276" s="101"/>
      <c r="F3276" s="185"/>
    </row>
    <row r="3277" spans="1:6" ht="52.8">
      <c r="A3277" s="93" t="s">
        <v>3703</v>
      </c>
      <c r="B3277" s="97" t="s">
        <v>3772</v>
      </c>
      <c r="C3277" s="103" t="s">
        <v>3300</v>
      </c>
      <c r="D3277" s="97" t="s">
        <v>2489</v>
      </c>
      <c r="E3277" s="74">
        <f>ROUND((SUM(E3278:E3283)),2)</f>
        <v>15</v>
      </c>
      <c r="F3277" s="225"/>
    </row>
    <row r="3278" spans="1:6">
      <c r="A3278" s="112"/>
      <c r="B3278" s="97"/>
      <c r="C3278" s="104" t="s">
        <v>3301</v>
      </c>
      <c r="D3278" s="99" t="s">
        <v>2489</v>
      </c>
      <c r="E3278" s="101">
        <v>1</v>
      </c>
    </row>
    <row r="3279" spans="1:6">
      <c r="A3279" s="112"/>
      <c r="B3279" s="97"/>
      <c r="C3279" s="104" t="s">
        <v>3306</v>
      </c>
      <c r="D3279" s="99" t="s">
        <v>2489</v>
      </c>
      <c r="E3279" s="101">
        <v>6</v>
      </c>
    </row>
    <row r="3280" spans="1:6">
      <c r="A3280" s="112"/>
      <c r="B3280" s="97"/>
      <c r="C3280" s="104" t="s">
        <v>3302</v>
      </c>
      <c r="D3280" s="99" t="s">
        <v>2489</v>
      </c>
      <c r="E3280" s="101">
        <v>3</v>
      </c>
    </row>
    <row r="3281" spans="1:6">
      <c r="A3281" s="112"/>
      <c r="B3281" s="97"/>
      <c r="C3281" s="104" t="s">
        <v>3303</v>
      </c>
      <c r="D3281" s="99" t="s">
        <v>2489</v>
      </c>
      <c r="E3281" s="101">
        <v>1</v>
      </c>
    </row>
    <row r="3282" spans="1:6">
      <c r="A3282" s="112"/>
      <c r="B3282" s="99"/>
      <c r="C3282" s="104" t="s">
        <v>3304</v>
      </c>
      <c r="D3282" s="99" t="s">
        <v>2489</v>
      </c>
      <c r="E3282" s="101">
        <v>3</v>
      </c>
    </row>
    <row r="3283" spans="1:6">
      <c r="A3283" s="112"/>
      <c r="B3283" s="99"/>
      <c r="C3283" s="104" t="s">
        <v>3305</v>
      </c>
      <c r="D3283" s="99" t="s">
        <v>2489</v>
      </c>
      <c r="E3283" s="101">
        <v>1</v>
      </c>
    </row>
    <row r="3284" spans="1:6">
      <c r="A3284" s="93"/>
      <c r="B3284" s="99"/>
      <c r="C3284" s="104"/>
      <c r="D3284" s="99"/>
      <c r="E3284" s="101"/>
    </row>
    <row r="3285" spans="1:6" ht="39.6">
      <c r="A3285" s="93" t="s">
        <v>3704</v>
      </c>
      <c r="B3285" s="97" t="s">
        <v>3773</v>
      </c>
      <c r="C3285" s="103" t="s">
        <v>3307</v>
      </c>
      <c r="D3285" s="97" t="s">
        <v>2489</v>
      </c>
      <c r="E3285" s="74">
        <f>ROUND((E3286),2)</f>
        <v>1</v>
      </c>
      <c r="F3285" s="225"/>
    </row>
    <row r="3286" spans="1:6">
      <c r="A3286" s="93"/>
      <c r="B3286" s="99"/>
      <c r="C3286" s="104" t="s">
        <v>3308</v>
      </c>
      <c r="D3286" s="99" t="s">
        <v>2489</v>
      </c>
      <c r="E3286" s="101">
        <v>1</v>
      </c>
      <c r="F3286" s="185"/>
    </row>
    <row r="3287" spans="1:6">
      <c r="A3287" s="93"/>
      <c r="B3287" s="99"/>
      <c r="C3287" s="104"/>
      <c r="D3287" s="99"/>
      <c r="E3287" s="101"/>
      <c r="F3287" s="185"/>
    </row>
    <row r="3288" spans="1:6">
      <c r="A3288" s="93" t="s">
        <v>3705</v>
      </c>
      <c r="B3288" s="97" t="s">
        <v>3774</v>
      </c>
      <c r="C3288" s="103" t="s">
        <v>3323</v>
      </c>
      <c r="D3288" s="97" t="s">
        <v>2489</v>
      </c>
      <c r="E3288" s="74">
        <f>ROUND((E3289),2)</f>
        <v>998</v>
      </c>
      <c r="F3288" s="226"/>
    </row>
    <row r="3289" spans="1:6">
      <c r="A3289" s="93"/>
      <c r="B3289" s="99"/>
      <c r="C3289" s="104" t="s">
        <v>3322</v>
      </c>
      <c r="D3289" s="99" t="s">
        <v>2488</v>
      </c>
      <c r="E3289" s="105">
        <v>998</v>
      </c>
      <c r="F3289" s="185"/>
    </row>
    <row r="3290" spans="1:6">
      <c r="A3290" s="93"/>
      <c r="B3290" s="99"/>
      <c r="C3290" s="104"/>
      <c r="D3290" s="99"/>
      <c r="E3290" s="101"/>
      <c r="F3290" s="185"/>
    </row>
    <row r="3291" spans="1:6">
      <c r="A3291" s="93" t="s">
        <v>3706</v>
      </c>
      <c r="B3291" s="97" t="s">
        <v>3775</v>
      </c>
      <c r="C3291" s="103" t="s">
        <v>3324</v>
      </c>
      <c r="D3291" s="99" t="s">
        <v>2889</v>
      </c>
      <c r="E3291" s="74">
        <f>ROUND((E3292),2)</f>
        <v>120</v>
      </c>
      <c r="F3291" s="226"/>
    </row>
    <row r="3292" spans="1:6">
      <c r="A3292" s="93"/>
      <c r="B3292" s="99"/>
      <c r="C3292" s="104" t="s">
        <v>3322</v>
      </c>
      <c r="D3292" s="99" t="s">
        <v>2616</v>
      </c>
      <c r="E3292" s="105">
        <v>120</v>
      </c>
      <c r="F3292" s="185"/>
    </row>
    <row r="3293" spans="1:6">
      <c r="A3293" s="93"/>
      <c r="B3293" s="108"/>
      <c r="C3293" s="109"/>
      <c r="D3293" s="108"/>
      <c r="E3293" s="105"/>
      <c r="F3293" s="185"/>
    </row>
    <row r="3294" spans="1:6">
      <c r="A3294" s="93" t="s">
        <v>3714</v>
      </c>
      <c r="B3294" s="97" t="s">
        <v>3776</v>
      </c>
      <c r="C3294" s="103" t="s">
        <v>3325</v>
      </c>
      <c r="D3294" s="99" t="s">
        <v>2487</v>
      </c>
      <c r="E3294" s="74">
        <f>ROUND((E3295),2)</f>
        <v>32</v>
      </c>
      <c r="F3294" s="226"/>
    </row>
    <row r="3295" spans="1:6">
      <c r="A3295" s="93"/>
      <c r="B3295" s="108"/>
      <c r="C3295" s="104" t="s">
        <v>3322</v>
      </c>
      <c r="D3295" s="99" t="s">
        <v>2114</v>
      </c>
      <c r="E3295" s="105">
        <v>32</v>
      </c>
    </row>
    <row r="3296" spans="1:6">
      <c r="A3296" s="93"/>
      <c r="B3296" s="108"/>
      <c r="C3296" s="109"/>
      <c r="D3296" s="108"/>
      <c r="E3296" s="105"/>
    </row>
    <row r="3297" spans="1:6" ht="39.6">
      <c r="A3297" s="91" t="s">
        <v>3852</v>
      </c>
      <c r="B3297" s="97" t="s">
        <v>3777</v>
      </c>
      <c r="C3297" s="103" t="s">
        <v>3330</v>
      </c>
      <c r="D3297" s="97" t="s">
        <v>2489</v>
      </c>
      <c r="E3297" s="74">
        <f>ROUND((SUM(E3298)),2)</f>
        <v>11</v>
      </c>
      <c r="F3297" s="226"/>
    </row>
    <row r="3298" spans="1:6">
      <c r="A3298" s="93"/>
      <c r="B3298" s="108"/>
      <c r="C3298" s="109" t="s">
        <v>3329</v>
      </c>
      <c r="D3298" s="99" t="s">
        <v>2489</v>
      </c>
      <c r="E3298" s="105">
        <v>11</v>
      </c>
    </row>
    <row r="3299" spans="1:6">
      <c r="A3299" s="93"/>
      <c r="B3299" s="108"/>
      <c r="C3299" s="109"/>
      <c r="D3299" s="108"/>
      <c r="E3299" s="105"/>
    </row>
    <row r="3300" spans="1:6" ht="39.6">
      <c r="A3300" s="93" t="s">
        <v>3853</v>
      </c>
      <c r="B3300" s="97" t="s">
        <v>3778</v>
      </c>
      <c r="C3300" s="103" t="s">
        <v>3331</v>
      </c>
      <c r="D3300" s="97" t="s">
        <v>2489</v>
      </c>
      <c r="E3300" s="74">
        <f>ROUND((SUM(E3301:E3302)),2)</f>
        <v>93</v>
      </c>
      <c r="F3300" s="226"/>
    </row>
    <row r="3301" spans="1:6">
      <c r="A3301" s="93"/>
      <c r="B3301" s="108"/>
      <c r="C3301" s="109" t="s">
        <v>3332</v>
      </c>
      <c r="D3301" s="99" t="s">
        <v>2489</v>
      </c>
      <c r="E3301" s="105">
        <v>57</v>
      </c>
    </row>
    <row r="3302" spans="1:6">
      <c r="A3302" s="93"/>
      <c r="B3302" s="108"/>
      <c r="C3302" s="109" t="s">
        <v>3333</v>
      </c>
      <c r="D3302" s="99" t="s">
        <v>2489</v>
      </c>
      <c r="E3302" s="105">
        <v>36</v>
      </c>
    </row>
    <row r="3303" spans="1:6">
      <c r="A3303" s="93"/>
      <c r="B3303" s="108"/>
      <c r="C3303" s="109"/>
      <c r="D3303" s="108"/>
      <c r="E3303" s="105"/>
    </row>
    <row r="3304" spans="1:6" ht="48.6" customHeight="1">
      <c r="A3304" s="93" t="s">
        <v>3854</v>
      </c>
      <c r="B3304" s="97" t="s">
        <v>3779</v>
      </c>
      <c r="C3304" s="103" t="s">
        <v>3334</v>
      </c>
      <c r="D3304" s="97" t="s">
        <v>2489</v>
      </c>
      <c r="E3304" s="74">
        <f>ROUND((SUM(E3305:E3306)),2)</f>
        <v>26</v>
      </c>
      <c r="F3304" s="226"/>
    </row>
    <row r="3305" spans="1:6">
      <c r="A3305" s="112"/>
      <c r="B3305" s="108"/>
      <c r="C3305" s="109" t="s">
        <v>3335</v>
      </c>
      <c r="D3305" s="99" t="s">
        <v>2489</v>
      </c>
      <c r="E3305" s="105">
        <v>10</v>
      </c>
    </row>
    <row r="3306" spans="1:6">
      <c r="A3306" s="93"/>
      <c r="B3306" s="108"/>
      <c r="C3306" s="109" t="s">
        <v>3336</v>
      </c>
      <c r="D3306" s="99" t="s">
        <v>2489</v>
      </c>
      <c r="E3306" s="105">
        <v>16</v>
      </c>
    </row>
    <row r="3307" spans="1:6">
      <c r="A3307" s="93"/>
      <c r="B3307" s="108"/>
      <c r="C3307" s="109"/>
      <c r="D3307" s="108"/>
      <c r="E3307" s="105"/>
    </row>
    <row r="3308" spans="1:6" ht="39.6">
      <c r="A3308" s="93" t="s">
        <v>3855</v>
      </c>
      <c r="B3308" s="97" t="s">
        <v>3780</v>
      </c>
      <c r="C3308" s="103" t="s">
        <v>3337</v>
      </c>
      <c r="D3308" s="108" t="s">
        <v>2889</v>
      </c>
      <c r="E3308" s="74">
        <f>ROUND((SUM(E3309)),2)</f>
        <v>8.1999999999999993</v>
      </c>
      <c r="F3308" s="226"/>
    </row>
    <row r="3309" spans="1:6">
      <c r="A3309" s="93"/>
      <c r="B3309" s="110"/>
      <c r="C3309" s="109" t="s">
        <v>3338</v>
      </c>
      <c r="D3309" s="108" t="s">
        <v>2616</v>
      </c>
      <c r="E3309" s="105">
        <f>4.719+3.484</f>
        <v>8.2029999999999994</v>
      </c>
    </row>
    <row r="3310" spans="1:6">
      <c r="A3310" s="93"/>
      <c r="B3310" s="110"/>
      <c r="C3310" s="109"/>
      <c r="D3310" s="108"/>
      <c r="E3310" s="105"/>
    </row>
    <row r="3311" spans="1:6" ht="26.4">
      <c r="A3311" s="93" t="s">
        <v>3856</v>
      </c>
      <c r="B3311" s="97" t="s">
        <v>3781</v>
      </c>
      <c r="C3311" s="103" t="s">
        <v>3339</v>
      </c>
      <c r="D3311" s="97" t="s">
        <v>2489</v>
      </c>
      <c r="E3311" s="74">
        <f>ROUND((SUM(E3312)),2)</f>
        <v>48</v>
      </c>
      <c r="F3311" s="226"/>
    </row>
    <row r="3312" spans="1:6">
      <c r="A3312" s="93"/>
      <c r="B3312" s="110"/>
      <c r="C3312" s="109" t="s">
        <v>3340</v>
      </c>
      <c r="D3312" s="99" t="s">
        <v>2489</v>
      </c>
      <c r="E3312" s="101">
        <v>48</v>
      </c>
      <c r="F3312" s="172"/>
    </row>
    <row r="3313" spans="1:6">
      <c r="A3313" s="93"/>
      <c r="B3313" s="110"/>
      <c r="C3313" s="109"/>
      <c r="D3313" s="108"/>
      <c r="E3313" s="101"/>
    </row>
    <row r="3314" spans="1:6" ht="39.6">
      <c r="A3314" s="93" t="s">
        <v>3857</v>
      </c>
      <c r="B3314" s="97" t="s">
        <v>2859</v>
      </c>
      <c r="C3314" s="103" t="s">
        <v>3341</v>
      </c>
      <c r="D3314" s="97" t="s">
        <v>2489</v>
      </c>
      <c r="E3314" s="74">
        <f>ROUND((SUM(E3315:E3319)),2)</f>
        <v>135</v>
      </c>
      <c r="F3314" s="226"/>
    </row>
    <row r="3315" spans="1:6">
      <c r="A3315" s="93"/>
      <c r="B3315" s="110"/>
      <c r="C3315" s="109" t="s">
        <v>3342</v>
      </c>
      <c r="D3315" s="99" t="s">
        <v>2489</v>
      </c>
      <c r="E3315" s="101">
        <v>20</v>
      </c>
    </row>
    <row r="3316" spans="1:6">
      <c r="A3316" s="93"/>
      <c r="B3316" s="110"/>
      <c r="C3316" s="109" t="s">
        <v>3343</v>
      </c>
      <c r="D3316" s="99" t="s">
        <v>2489</v>
      </c>
      <c r="E3316" s="101">
        <v>60</v>
      </c>
    </row>
    <row r="3317" spans="1:6">
      <c r="A3317" s="93"/>
      <c r="B3317" s="110"/>
      <c r="C3317" s="109" t="s">
        <v>3344</v>
      </c>
      <c r="D3317" s="99" t="s">
        <v>2489</v>
      </c>
      <c r="E3317" s="101">
        <v>10</v>
      </c>
    </row>
    <row r="3318" spans="1:6">
      <c r="A3318" s="93"/>
      <c r="B3318" s="110"/>
      <c r="C3318" s="109" t="s">
        <v>3345</v>
      </c>
      <c r="D3318" s="99" t="s">
        <v>2489</v>
      </c>
      <c r="E3318" s="101">
        <v>30</v>
      </c>
    </row>
    <row r="3319" spans="1:6">
      <c r="A3319" s="93"/>
      <c r="B3319" s="108"/>
      <c r="C3319" s="109" t="s">
        <v>3346</v>
      </c>
      <c r="D3319" s="99" t="s">
        <v>2489</v>
      </c>
      <c r="E3319" s="105">
        <v>15</v>
      </c>
    </row>
    <row r="3320" spans="1:6">
      <c r="A3320" s="93"/>
      <c r="B3320" s="108"/>
      <c r="C3320" s="109"/>
      <c r="D3320" s="108"/>
      <c r="E3320" s="105"/>
    </row>
    <row r="3321" spans="1:6">
      <c r="A3321" s="93" t="s">
        <v>3858</v>
      </c>
      <c r="B3321" s="97" t="s">
        <v>3457</v>
      </c>
      <c r="C3321" s="103" t="s">
        <v>4001</v>
      </c>
      <c r="D3321" s="108" t="s">
        <v>2723</v>
      </c>
      <c r="E3321" s="74">
        <f>ROUND((SUM(E3322:E3327)),2)</f>
        <v>12</v>
      </c>
    </row>
    <row r="3322" spans="1:6">
      <c r="A3322" s="93"/>
      <c r="B3322" s="108"/>
      <c r="C3322" s="109" t="s">
        <v>3079</v>
      </c>
      <c r="D3322" s="99" t="s">
        <v>2489</v>
      </c>
      <c r="E3322" s="101">
        <v>2</v>
      </c>
    </row>
    <row r="3323" spans="1:6">
      <c r="A3323" s="93"/>
      <c r="B3323" s="108"/>
      <c r="C3323" s="109" t="s">
        <v>3153</v>
      </c>
      <c r="D3323" s="99" t="s">
        <v>2489</v>
      </c>
      <c r="E3323" s="101">
        <v>2</v>
      </c>
    </row>
    <row r="3324" spans="1:6">
      <c r="A3324" s="93"/>
      <c r="B3324" s="108"/>
      <c r="C3324" s="109" t="s">
        <v>3154</v>
      </c>
      <c r="D3324" s="99" t="s">
        <v>2489</v>
      </c>
      <c r="E3324" s="101">
        <v>2</v>
      </c>
    </row>
    <row r="3325" spans="1:6">
      <c r="A3325" s="93"/>
      <c r="B3325" s="108"/>
      <c r="C3325" s="109" t="s">
        <v>3155</v>
      </c>
      <c r="D3325" s="99" t="s">
        <v>2489</v>
      </c>
      <c r="E3325" s="101">
        <v>2</v>
      </c>
    </row>
    <row r="3326" spans="1:6">
      <c r="A3326" s="93"/>
      <c r="B3326" s="108"/>
      <c r="C3326" s="109" t="s">
        <v>3156</v>
      </c>
      <c r="D3326" s="99" t="s">
        <v>2489</v>
      </c>
      <c r="E3326" s="101">
        <v>2</v>
      </c>
    </row>
    <row r="3327" spans="1:6">
      <c r="A3327" s="93"/>
      <c r="B3327" s="108"/>
      <c r="C3327" s="109" t="s">
        <v>3141</v>
      </c>
      <c r="D3327" s="99" t="s">
        <v>2489</v>
      </c>
      <c r="E3327" s="101">
        <v>2</v>
      </c>
    </row>
    <row r="3328" spans="1:6">
      <c r="A3328" s="93"/>
      <c r="B3328" s="108"/>
      <c r="C3328" s="109"/>
      <c r="D3328" s="108"/>
      <c r="E3328" s="105"/>
    </row>
    <row r="3329" spans="1:6" ht="26.4">
      <c r="A3329" s="91" t="s">
        <v>3859</v>
      </c>
      <c r="B3329" s="97" t="s">
        <v>3915</v>
      </c>
      <c r="C3329" s="103" t="s">
        <v>3758</v>
      </c>
      <c r="D3329" s="110" t="s">
        <v>2723</v>
      </c>
      <c r="E3329" s="74">
        <f>ROUND((SUM(E3330:E3333)),2)</f>
        <v>4</v>
      </c>
    </row>
    <row r="3330" spans="1:6">
      <c r="A3330" s="131"/>
      <c r="B3330" s="99"/>
      <c r="C3330" s="109" t="s">
        <v>3753</v>
      </c>
      <c r="D3330" s="108" t="s">
        <v>2488</v>
      </c>
      <c r="E3330" s="120">
        <v>1</v>
      </c>
    </row>
    <row r="3331" spans="1:6">
      <c r="A3331" s="131"/>
      <c r="B3331" s="99"/>
      <c r="C3331" s="109" t="s">
        <v>3755</v>
      </c>
      <c r="D3331" s="108" t="s">
        <v>2488</v>
      </c>
      <c r="E3331" s="120">
        <v>1</v>
      </c>
    </row>
    <row r="3332" spans="1:6">
      <c r="A3332" s="131"/>
      <c r="B3332" s="99"/>
      <c r="C3332" s="109" t="s">
        <v>3754</v>
      </c>
      <c r="D3332" s="108" t="s">
        <v>2488</v>
      </c>
      <c r="E3332" s="120">
        <v>1</v>
      </c>
    </row>
    <row r="3333" spans="1:6">
      <c r="A3333" s="131"/>
      <c r="B3333" s="99"/>
      <c r="C3333" s="109" t="s">
        <v>3756</v>
      </c>
      <c r="D3333" s="108" t="s">
        <v>2488</v>
      </c>
      <c r="E3333" s="120">
        <v>1</v>
      </c>
    </row>
    <row r="3334" spans="1:6">
      <c r="A3334" s="131"/>
      <c r="B3334" s="108"/>
      <c r="C3334" s="109"/>
      <c r="D3334" s="108"/>
      <c r="E3334" s="120"/>
    </row>
    <row r="3335" spans="1:6">
      <c r="A3335" s="134" t="s">
        <v>3860</v>
      </c>
      <c r="B3335" s="97" t="s">
        <v>3458</v>
      </c>
      <c r="C3335" s="111" t="s">
        <v>3757</v>
      </c>
      <c r="D3335" s="110" t="s">
        <v>2723</v>
      </c>
      <c r="E3335" s="74">
        <f>ROUND((SUM(E3336:E3341)),2)</f>
        <v>6</v>
      </c>
    </row>
    <row r="3336" spans="1:6">
      <c r="A3336" s="134"/>
      <c r="B3336" s="110"/>
      <c r="C3336" s="111" t="s">
        <v>3759</v>
      </c>
      <c r="D3336" s="108" t="s">
        <v>2488</v>
      </c>
      <c r="E3336" s="120">
        <v>1</v>
      </c>
    </row>
    <row r="3337" spans="1:6">
      <c r="A3337" s="134"/>
      <c r="B3337" s="110"/>
      <c r="C3337" s="111" t="s">
        <v>3760</v>
      </c>
      <c r="D3337" s="108" t="s">
        <v>2488</v>
      </c>
      <c r="E3337" s="120">
        <v>1</v>
      </c>
    </row>
    <row r="3338" spans="1:6">
      <c r="A3338" s="134"/>
      <c r="B3338" s="110"/>
      <c r="C3338" s="111" t="s">
        <v>3761</v>
      </c>
      <c r="D3338" s="108" t="s">
        <v>2488</v>
      </c>
      <c r="E3338" s="120">
        <v>1</v>
      </c>
    </row>
    <row r="3339" spans="1:6">
      <c r="A3339" s="134"/>
      <c r="B3339" s="110"/>
      <c r="C3339" s="111" t="s">
        <v>3762</v>
      </c>
      <c r="D3339" s="108" t="s">
        <v>2488</v>
      </c>
      <c r="E3339" s="120">
        <v>1</v>
      </c>
    </row>
    <row r="3340" spans="1:6">
      <c r="A3340" s="93"/>
      <c r="B3340" s="108"/>
      <c r="C3340" s="109" t="s">
        <v>3763</v>
      </c>
      <c r="D3340" s="108" t="s">
        <v>2488</v>
      </c>
      <c r="E3340" s="120">
        <v>1</v>
      </c>
    </row>
    <row r="3341" spans="1:6">
      <c r="A3341" s="93"/>
      <c r="B3341" s="108"/>
      <c r="C3341" s="109" t="s">
        <v>3764</v>
      </c>
      <c r="D3341" s="108" t="s">
        <v>2488</v>
      </c>
      <c r="E3341" s="120">
        <v>1</v>
      </c>
    </row>
    <row r="3342" spans="1:6">
      <c r="A3342" s="32">
        <v>18</v>
      </c>
      <c r="B3342" s="61">
        <v>280000</v>
      </c>
      <c r="C3342" s="44" t="s">
        <v>2726</v>
      </c>
      <c r="D3342" s="147"/>
      <c r="E3342" s="88"/>
      <c r="F3342" s="172"/>
    </row>
    <row r="3343" spans="1:6" ht="39.6">
      <c r="A3343" s="96" t="s">
        <v>3861</v>
      </c>
      <c r="B3343" s="97" t="s">
        <v>2497</v>
      </c>
      <c r="C3343" s="103" t="s">
        <v>2720</v>
      </c>
      <c r="D3343" s="97" t="s">
        <v>2616</v>
      </c>
      <c r="E3343" s="74">
        <f>ROUND(SUM(E3345:E3347),22)</f>
        <v>25.65</v>
      </c>
    </row>
    <row r="3344" spans="1:6" ht="14.4" customHeight="1">
      <c r="A3344" s="96"/>
      <c r="B3344" s="97"/>
      <c r="C3344" s="100" t="s">
        <v>3692</v>
      </c>
      <c r="D3344" s="99"/>
      <c r="E3344" s="101"/>
    </row>
    <row r="3345" spans="1:5">
      <c r="A3345" s="96"/>
      <c r="B3345" s="97"/>
      <c r="C3345" s="102" t="s">
        <v>2730</v>
      </c>
      <c r="D3345" s="99" t="s">
        <v>2616</v>
      </c>
      <c r="E3345" s="101">
        <f>2.85*3</f>
        <v>8.5500000000000007</v>
      </c>
    </row>
    <row r="3346" spans="1:5">
      <c r="A3346" s="96"/>
      <c r="B3346" s="97"/>
      <c r="C3346" s="102" t="s">
        <v>2731</v>
      </c>
      <c r="D3346" s="99" t="s">
        <v>2616</v>
      </c>
      <c r="E3346" s="101">
        <f>2.85*3</f>
        <v>8.5500000000000007</v>
      </c>
    </row>
    <row r="3347" spans="1:5">
      <c r="A3347" s="96"/>
      <c r="B3347" s="97"/>
      <c r="C3347" s="102" t="s">
        <v>2732</v>
      </c>
      <c r="D3347" s="99" t="s">
        <v>2616</v>
      </c>
      <c r="E3347" s="101">
        <f>2.85*3</f>
        <v>8.5500000000000007</v>
      </c>
    </row>
    <row r="3348" spans="1:5">
      <c r="A3348" s="96"/>
      <c r="B3348" s="97"/>
      <c r="C3348" s="103"/>
      <c r="D3348" s="97"/>
      <c r="E3348" s="74"/>
    </row>
    <row r="3349" spans="1:5" ht="39.6">
      <c r="A3349" s="96" t="s">
        <v>3862</v>
      </c>
      <c r="B3349" s="97" t="s">
        <v>2498</v>
      </c>
      <c r="C3349" s="103" t="s">
        <v>2721</v>
      </c>
      <c r="D3349" s="97" t="s">
        <v>2616</v>
      </c>
      <c r="E3349" s="74">
        <f>ROUND(SUM(E3351:E3352),22)</f>
        <v>25.02</v>
      </c>
    </row>
    <row r="3350" spans="1:5">
      <c r="A3350" s="96"/>
      <c r="B3350" s="97"/>
      <c r="C3350" s="100" t="s">
        <v>2704</v>
      </c>
      <c r="D3350" s="99"/>
      <c r="E3350" s="101"/>
    </row>
    <row r="3351" spans="1:5">
      <c r="A3351" s="96"/>
      <c r="B3351" s="97"/>
      <c r="C3351" s="102" t="s">
        <v>2728</v>
      </c>
      <c r="D3351" s="99" t="s">
        <v>2616</v>
      </c>
      <c r="E3351" s="101">
        <f>4.17*3</f>
        <v>12.51</v>
      </c>
    </row>
    <row r="3352" spans="1:5">
      <c r="A3352" s="96"/>
      <c r="B3352" s="97"/>
      <c r="C3352" s="102" t="s">
        <v>2729</v>
      </c>
      <c r="D3352" s="99" t="s">
        <v>2616</v>
      </c>
      <c r="E3352" s="101">
        <f>4.17*3</f>
        <v>12.51</v>
      </c>
    </row>
    <row r="3353" spans="1:5">
      <c r="A3353" s="96"/>
      <c r="B3353" s="97"/>
      <c r="C3353" s="103"/>
      <c r="D3353" s="97"/>
      <c r="E3353" s="74"/>
    </row>
    <row r="3354" spans="1:5" ht="39.6">
      <c r="A3354" s="96" t="s">
        <v>3863</v>
      </c>
      <c r="B3354" s="97" t="s">
        <v>2568</v>
      </c>
      <c r="C3354" s="103" t="s">
        <v>2722</v>
      </c>
      <c r="D3354" s="97" t="s">
        <v>2616</v>
      </c>
      <c r="E3354" s="74">
        <f>ROUND(SUM(E3356:E3360),22)</f>
        <v>30.3</v>
      </c>
    </row>
    <row r="3355" spans="1:5">
      <c r="A3355" s="96"/>
      <c r="B3355" s="97"/>
      <c r="C3355" s="100" t="s">
        <v>2704</v>
      </c>
      <c r="D3355" s="99"/>
      <c r="E3355" s="101"/>
    </row>
    <row r="3356" spans="1:5">
      <c r="A3356" s="96"/>
      <c r="B3356" s="97"/>
      <c r="C3356" s="102" t="s">
        <v>2733</v>
      </c>
      <c r="D3356" s="99" t="s">
        <v>2616</v>
      </c>
      <c r="E3356" s="101">
        <f>2.02*3</f>
        <v>6.0600000000000005</v>
      </c>
    </row>
    <row r="3357" spans="1:5">
      <c r="A3357" s="96"/>
      <c r="B3357" s="97"/>
      <c r="C3357" s="102" t="s">
        <v>2734</v>
      </c>
      <c r="D3357" s="99" t="s">
        <v>2616</v>
      </c>
      <c r="E3357" s="101">
        <f>2.02*3</f>
        <v>6.0600000000000005</v>
      </c>
    </row>
    <row r="3358" spans="1:5">
      <c r="A3358" s="96"/>
      <c r="B3358" s="97"/>
      <c r="C3358" s="102" t="s">
        <v>2736</v>
      </c>
      <c r="D3358" s="99" t="s">
        <v>2616</v>
      </c>
      <c r="E3358" s="101">
        <f>2.02*3</f>
        <v>6.0600000000000005</v>
      </c>
    </row>
    <row r="3359" spans="1:5">
      <c r="A3359" s="96"/>
      <c r="B3359" s="97"/>
      <c r="C3359" s="102" t="s">
        <v>2731</v>
      </c>
      <c r="D3359" s="99" t="s">
        <v>2616</v>
      </c>
      <c r="E3359" s="101">
        <f>2.02*3</f>
        <v>6.0600000000000005</v>
      </c>
    </row>
    <row r="3360" spans="1:5">
      <c r="A3360" s="96"/>
      <c r="B3360" s="97"/>
      <c r="C3360" s="102" t="s">
        <v>2737</v>
      </c>
      <c r="D3360" s="99" t="s">
        <v>2616</v>
      </c>
      <c r="E3360" s="101">
        <f>2.02*3</f>
        <v>6.0600000000000005</v>
      </c>
    </row>
    <row r="3361" spans="1:5">
      <c r="A3361" s="96"/>
      <c r="B3361" s="97"/>
      <c r="C3361" s="103"/>
      <c r="D3361" s="97"/>
      <c r="E3361" s="74"/>
    </row>
    <row r="3362" spans="1:5" ht="39.6">
      <c r="A3362" s="96" t="s">
        <v>3864</v>
      </c>
      <c r="B3362" s="97" t="s">
        <v>2569</v>
      </c>
      <c r="C3362" s="103" t="s">
        <v>3918</v>
      </c>
      <c r="D3362" s="97" t="s">
        <v>2616</v>
      </c>
      <c r="E3362" s="74">
        <f>ROUND(SUM(E3364),22)</f>
        <v>8.1</v>
      </c>
    </row>
    <row r="3363" spans="1:5">
      <c r="A3363" s="96"/>
      <c r="B3363" s="97"/>
      <c r="C3363" s="100" t="s">
        <v>2704</v>
      </c>
      <c r="D3363" s="99"/>
      <c r="E3363" s="101"/>
    </row>
    <row r="3364" spans="1:5">
      <c r="A3364" s="96"/>
      <c r="B3364" s="97"/>
      <c r="C3364" s="102" t="s">
        <v>2735</v>
      </c>
      <c r="D3364" s="99" t="s">
        <v>2616</v>
      </c>
      <c r="E3364" s="101">
        <f>2.7*3</f>
        <v>8.1000000000000014</v>
      </c>
    </row>
    <row r="3365" spans="1:5">
      <c r="A3365" s="96"/>
      <c r="B3365" s="97"/>
      <c r="C3365" s="103"/>
      <c r="D3365" s="97"/>
      <c r="E3365" s="74"/>
    </row>
    <row r="3366" spans="1:5" ht="39.6">
      <c r="A3366" s="96" t="s">
        <v>3865</v>
      </c>
      <c r="B3366" s="97" t="s">
        <v>2570</v>
      </c>
      <c r="C3366" s="103" t="s">
        <v>2724</v>
      </c>
      <c r="D3366" s="97" t="s">
        <v>2616</v>
      </c>
      <c r="E3366" s="74">
        <f>ROUND(SUM(E3368:E3368),22)</f>
        <v>17.600000000000001</v>
      </c>
    </row>
    <row r="3367" spans="1:5">
      <c r="A3367" s="96"/>
      <c r="B3367" s="97"/>
      <c r="C3367" s="100" t="s">
        <v>2704</v>
      </c>
      <c r="D3367" s="99"/>
      <c r="E3367" s="101"/>
    </row>
    <row r="3368" spans="1:5">
      <c r="A3368" s="96"/>
      <c r="B3368" s="97"/>
      <c r="C3368" s="102" t="s">
        <v>2738</v>
      </c>
      <c r="D3368" s="99" t="s">
        <v>2616</v>
      </c>
      <c r="E3368" s="101">
        <f>2*4*2.2</f>
        <v>17.600000000000001</v>
      </c>
    </row>
    <row r="3369" spans="1:5">
      <c r="A3369" s="96"/>
      <c r="B3369" s="97"/>
      <c r="C3369" s="103"/>
      <c r="D3369" s="97"/>
      <c r="E3369" s="74"/>
    </row>
    <row r="3370" spans="1:5" ht="39.6">
      <c r="A3370" s="96" t="s">
        <v>3866</v>
      </c>
      <c r="B3370" s="97" t="s">
        <v>2576</v>
      </c>
      <c r="C3370" s="103" t="s">
        <v>2725</v>
      </c>
      <c r="D3370" s="97" t="s">
        <v>2889</v>
      </c>
      <c r="E3370" s="74">
        <f>ROUND(SUM(E3372:E3372),22)</f>
        <v>25.3</v>
      </c>
    </row>
    <row r="3371" spans="1:5">
      <c r="A3371" s="96"/>
      <c r="B3371" s="97"/>
      <c r="C3371" s="100" t="s">
        <v>2704</v>
      </c>
      <c r="D3371" s="99"/>
      <c r="E3371" s="101"/>
    </row>
    <row r="3372" spans="1:5">
      <c r="A3372" s="96"/>
      <c r="B3372" s="97"/>
      <c r="C3372" s="102" t="s">
        <v>2739</v>
      </c>
      <c r="D3372" s="99" t="s">
        <v>3040</v>
      </c>
      <c r="E3372" s="101">
        <f>5*2.3*2.2</f>
        <v>25.3</v>
      </c>
    </row>
    <row r="3373" spans="1:5">
      <c r="A3373" s="96"/>
      <c r="B3373" s="97"/>
      <c r="C3373" s="103"/>
      <c r="D3373" s="97"/>
      <c r="E3373" s="74"/>
    </row>
    <row r="3374" spans="1:5" ht="39.6">
      <c r="A3374" s="96" t="s">
        <v>3867</v>
      </c>
      <c r="B3374" s="97" t="s">
        <v>2590</v>
      </c>
      <c r="C3374" s="103" t="s">
        <v>2727</v>
      </c>
      <c r="D3374" s="97" t="s">
        <v>2889</v>
      </c>
      <c r="E3374" s="74">
        <f>ROUND(SUM(E3376:E3378),22)</f>
        <v>43.89</v>
      </c>
    </row>
    <row r="3375" spans="1:5">
      <c r="A3375" s="96"/>
      <c r="B3375" s="97"/>
      <c r="C3375" s="100" t="s">
        <v>2704</v>
      </c>
      <c r="D3375" s="99"/>
      <c r="E3375" s="101"/>
    </row>
    <row r="3376" spans="1:5">
      <c r="A3376" s="96"/>
      <c r="B3376" s="97"/>
      <c r="C3376" s="102" t="s">
        <v>2739</v>
      </c>
      <c r="D3376" s="99" t="s">
        <v>3040</v>
      </c>
      <c r="E3376" s="101">
        <f>5*2.85*2.2</f>
        <v>31.35</v>
      </c>
    </row>
    <row r="3377" spans="1:5">
      <c r="A3377" s="96"/>
      <c r="B3377" s="97"/>
      <c r="C3377" s="102" t="s">
        <v>2740</v>
      </c>
      <c r="D3377" s="99" t="s">
        <v>3040</v>
      </c>
      <c r="E3377" s="101">
        <f>2.85*2.2</f>
        <v>6.2700000000000005</v>
      </c>
    </row>
    <row r="3378" spans="1:5">
      <c r="A3378" s="96"/>
      <c r="B3378" s="97"/>
      <c r="C3378" s="102" t="s">
        <v>2741</v>
      </c>
      <c r="D3378" s="99" t="s">
        <v>3040</v>
      </c>
      <c r="E3378" s="101">
        <f>2.85*2.2</f>
        <v>6.2700000000000005</v>
      </c>
    </row>
    <row r="3379" spans="1:5">
      <c r="A3379" s="96"/>
      <c r="B3379" s="97"/>
      <c r="C3379" s="103"/>
      <c r="D3379" s="97"/>
      <c r="E3379" s="74"/>
    </row>
    <row r="3380" spans="1:5" hidden="1">
      <c r="A3380" s="96"/>
      <c r="B3380" s="97"/>
      <c r="C3380" s="103"/>
      <c r="D3380" s="97"/>
      <c r="E3380" s="74"/>
    </row>
    <row r="3381" spans="1:5" hidden="1">
      <c r="A3381" s="96"/>
      <c r="B3381" s="97"/>
      <c r="C3381" s="100"/>
      <c r="D3381" s="99"/>
      <c r="E3381" s="101"/>
    </row>
    <row r="3382" spans="1:5" hidden="1">
      <c r="A3382" s="96"/>
      <c r="B3382" s="97"/>
      <c r="C3382" s="102"/>
      <c r="D3382" s="99"/>
      <c r="E3382" s="101"/>
    </row>
    <row r="3383" spans="1:5" hidden="1">
      <c r="A3383" s="96"/>
      <c r="B3383" s="97"/>
      <c r="C3383" s="103"/>
      <c r="D3383" s="97"/>
      <c r="E3383" s="74"/>
    </row>
    <row r="3384" spans="1:5" hidden="1">
      <c r="A3384" s="96"/>
      <c r="B3384" s="97"/>
      <c r="C3384" s="103"/>
      <c r="D3384" s="97"/>
      <c r="E3384" s="74"/>
    </row>
    <row r="3385" spans="1:5" hidden="1">
      <c r="A3385" s="96"/>
      <c r="B3385" s="97"/>
      <c r="C3385" s="100"/>
      <c r="D3385" s="99"/>
      <c r="E3385" s="101"/>
    </row>
    <row r="3386" spans="1:5" hidden="1">
      <c r="A3386" s="96"/>
      <c r="B3386" s="97"/>
      <c r="C3386" s="102"/>
      <c r="D3386" s="99"/>
      <c r="E3386" s="101"/>
    </row>
    <row r="3387" spans="1:5" hidden="1">
      <c r="A3387" s="96"/>
      <c r="B3387" s="97"/>
      <c r="C3387" s="102"/>
      <c r="D3387" s="99"/>
      <c r="E3387" s="101"/>
    </row>
    <row r="3388" spans="1:5" hidden="1">
      <c r="A3388" s="96"/>
      <c r="B3388" s="97"/>
      <c r="C3388" s="102"/>
      <c r="D3388" s="99"/>
      <c r="E3388" s="101"/>
    </row>
    <row r="3389" spans="1:5" hidden="1">
      <c r="A3389" s="96"/>
      <c r="B3389" s="97"/>
      <c r="C3389" s="103"/>
      <c r="D3389" s="97"/>
      <c r="E3389" s="74"/>
    </row>
    <row r="3390" spans="1:5" hidden="1">
      <c r="A3390" s="96"/>
      <c r="B3390" s="97"/>
      <c r="C3390" s="103"/>
      <c r="D3390" s="97"/>
      <c r="E3390" s="74"/>
    </row>
    <row r="3391" spans="1:5" hidden="1">
      <c r="A3391" s="96"/>
      <c r="B3391" s="97"/>
      <c r="C3391" s="104"/>
      <c r="D3391" s="99"/>
      <c r="E3391" s="101"/>
    </row>
    <row r="3392" spans="1:5" hidden="1">
      <c r="A3392" s="96"/>
      <c r="B3392" s="97"/>
      <c r="C3392" s="104"/>
      <c r="D3392" s="99"/>
      <c r="E3392" s="101"/>
    </row>
    <row r="3393" spans="1:6" ht="39.6">
      <c r="A3393" s="96" t="s">
        <v>3868</v>
      </c>
      <c r="B3393" s="97" t="s">
        <v>2774</v>
      </c>
      <c r="C3393" s="103" t="s">
        <v>3907</v>
      </c>
      <c r="D3393" s="97" t="s">
        <v>2889</v>
      </c>
      <c r="E3393" s="74">
        <f>ROUND(SUM(E3394),22)</f>
        <v>58.8125</v>
      </c>
      <c r="F3393" s="170"/>
    </row>
    <row r="3394" spans="1:6" s="47" customFormat="1" ht="34.200000000000003">
      <c r="A3394" s="96"/>
      <c r="B3394" s="97"/>
      <c r="C3394" s="104" t="s">
        <v>3347</v>
      </c>
      <c r="D3394" s="99" t="s">
        <v>2889</v>
      </c>
      <c r="E3394" s="105">
        <f>((2.45+1.55+0.9+11.55+3.55+2.45+7.35+2.45)*1.3)+(0.55*2.45)+(2.1*2.45)+(0.9*11.55)</f>
        <v>58.812500000000014</v>
      </c>
      <c r="F3394" s="163"/>
    </row>
    <row r="3395" spans="1:6">
      <c r="A3395" s="96"/>
      <c r="B3395" s="97"/>
      <c r="C3395" s="103"/>
      <c r="D3395" s="97"/>
      <c r="E3395" s="175"/>
    </row>
    <row r="3396" spans="1:6" ht="52.8">
      <c r="A3396" s="96" t="s">
        <v>3869</v>
      </c>
      <c r="B3396" s="97" t="s">
        <v>2775</v>
      </c>
      <c r="C3396" s="103" t="s">
        <v>3908</v>
      </c>
      <c r="D3396" s="97" t="s">
        <v>2489</v>
      </c>
      <c r="E3396" s="74">
        <f>ROUND(SUM(E3397),22)</f>
        <v>1</v>
      </c>
    </row>
    <row r="3397" spans="1:6" s="47" customFormat="1" ht="13.2">
      <c r="A3397" s="96"/>
      <c r="B3397" s="97"/>
      <c r="C3397" s="104" t="s">
        <v>2860</v>
      </c>
      <c r="D3397" s="99" t="s">
        <v>2488</v>
      </c>
      <c r="E3397" s="105">
        <v>1</v>
      </c>
      <c r="F3397" s="163"/>
    </row>
    <row r="3398" spans="1:6">
      <c r="A3398" s="96"/>
      <c r="B3398" s="97"/>
      <c r="C3398" s="103"/>
      <c r="D3398" s="97"/>
      <c r="E3398" s="175"/>
    </row>
    <row r="3399" spans="1:6" ht="26.4">
      <c r="A3399" s="96" t="s">
        <v>3870</v>
      </c>
      <c r="B3399" s="97" t="s">
        <v>2776</v>
      </c>
      <c r="C3399" s="103" t="s">
        <v>3909</v>
      </c>
      <c r="D3399" s="97" t="s">
        <v>2489</v>
      </c>
      <c r="E3399" s="74">
        <f>ROUND(SUM(E3400),22)</f>
        <v>1</v>
      </c>
    </row>
    <row r="3400" spans="1:6">
      <c r="A3400" s="96"/>
      <c r="B3400" s="97"/>
      <c r="C3400" s="104" t="s">
        <v>2860</v>
      </c>
      <c r="D3400" s="99" t="s">
        <v>2488</v>
      </c>
      <c r="E3400" s="105">
        <v>1</v>
      </c>
    </row>
    <row r="3401" spans="1:6">
      <c r="A3401" s="96"/>
      <c r="B3401" s="97"/>
      <c r="C3401" s="103"/>
      <c r="D3401" s="97"/>
      <c r="E3401" s="175"/>
    </row>
    <row r="3402" spans="1:6" ht="39.6">
      <c r="A3402" s="96" t="s">
        <v>3871</v>
      </c>
      <c r="B3402" s="97" t="s">
        <v>2777</v>
      </c>
      <c r="C3402" s="103" t="s">
        <v>3910</v>
      </c>
      <c r="D3402" s="97" t="s">
        <v>2489</v>
      </c>
      <c r="E3402" s="74">
        <f>ROUND(SUM(E3403),22)</f>
        <v>1</v>
      </c>
    </row>
    <row r="3403" spans="1:6">
      <c r="A3403" s="96"/>
      <c r="B3403" s="97"/>
      <c r="C3403" s="104" t="s">
        <v>2860</v>
      </c>
      <c r="D3403" s="99" t="s">
        <v>2488</v>
      </c>
      <c r="E3403" s="105">
        <v>1</v>
      </c>
    </row>
    <row r="3404" spans="1:6">
      <c r="A3404" s="176"/>
      <c r="B3404" s="94"/>
      <c r="C3404" s="5"/>
      <c r="D3404" s="94"/>
      <c r="E3404" s="95"/>
    </row>
    <row r="3405" spans="1:6" ht="39.6">
      <c r="A3405" s="176" t="s">
        <v>3872</v>
      </c>
      <c r="B3405" s="94" t="s">
        <v>3707</v>
      </c>
      <c r="C3405" s="103" t="s">
        <v>3889</v>
      </c>
      <c r="D3405" s="97" t="s">
        <v>2489</v>
      </c>
      <c r="E3405" s="74">
        <f>ROUND(SUM(E3406),22)</f>
        <v>1</v>
      </c>
    </row>
    <row r="3406" spans="1:6">
      <c r="A3406" s="176"/>
      <c r="B3406" s="94"/>
      <c r="C3406" s="162" t="s">
        <v>3290</v>
      </c>
      <c r="D3406" s="99" t="s">
        <v>2488</v>
      </c>
      <c r="E3406" s="105">
        <v>1</v>
      </c>
    </row>
    <row r="3407" spans="1:6">
      <c r="A3407" s="176"/>
      <c r="B3407" s="94"/>
      <c r="C3407" s="5"/>
      <c r="D3407" s="94"/>
      <c r="E3407" s="95"/>
    </row>
    <row r="3408" spans="1:6" ht="26.4">
      <c r="A3408" s="176" t="s">
        <v>3873</v>
      </c>
      <c r="B3408" s="94" t="s">
        <v>3169</v>
      </c>
      <c r="C3408" s="5" t="s">
        <v>3321</v>
      </c>
      <c r="D3408" s="97" t="s">
        <v>2489</v>
      </c>
      <c r="E3408" s="74">
        <f>ROUND(SUM(E3409),22)</f>
        <v>11</v>
      </c>
    </row>
    <row r="3409" spans="1:5">
      <c r="A3409" s="176"/>
      <c r="B3409" s="94"/>
      <c r="C3409" s="162" t="s">
        <v>3322</v>
      </c>
      <c r="D3409" s="99" t="s">
        <v>2488</v>
      </c>
      <c r="E3409" s="105">
        <v>11</v>
      </c>
    </row>
    <row r="3410" spans="1:5">
      <c r="A3410" s="176"/>
      <c r="B3410" s="94"/>
      <c r="C3410" s="5"/>
      <c r="D3410" s="94"/>
      <c r="E3410" s="95"/>
    </row>
    <row r="3411" spans="1:5" ht="27">
      <c r="A3411" s="177" t="s">
        <v>3874</v>
      </c>
      <c r="B3411" s="94" t="s">
        <v>3170</v>
      </c>
      <c r="C3411" s="178" t="s">
        <v>3172</v>
      </c>
      <c r="D3411" s="97" t="s">
        <v>2489</v>
      </c>
      <c r="E3411" s="74">
        <f>ROUND(SUM(E3412),22)</f>
        <v>57</v>
      </c>
    </row>
    <row r="3412" spans="1:5">
      <c r="A3412" s="177"/>
      <c r="B3412" s="181"/>
      <c r="C3412" s="162" t="s">
        <v>3322</v>
      </c>
      <c r="D3412" s="99" t="s">
        <v>2488</v>
      </c>
      <c r="E3412" s="105">
        <v>57</v>
      </c>
    </row>
    <row r="3413" spans="1:5">
      <c r="A3413" s="177"/>
      <c r="B3413" s="181"/>
      <c r="C3413" s="178"/>
      <c r="D3413" s="179"/>
      <c r="E3413" s="180"/>
    </row>
    <row r="3414" spans="1:5" ht="27">
      <c r="A3414" s="177" t="s">
        <v>3875</v>
      </c>
      <c r="B3414" s="94" t="s">
        <v>3173</v>
      </c>
      <c r="C3414" s="178" t="s">
        <v>3174</v>
      </c>
      <c r="D3414" s="97" t="s">
        <v>2489</v>
      </c>
      <c r="E3414" s="74">
        <f>ROUND(SUM(E3415),22)</f>
        <v>36</v>
      </c>
    </row>
    <row r="3415" spans="1:5">
      <c r="A3415" s="177"/>
      <c r="B3415" s="181"/>
      <c r="C3415" s="162" t="s">
        <v>3322</v>
      </c>
      <c r="D3415" s="99" t="s">
        <v>2488</v>
      </c>
      <c r="E3415" s="105">
        <v>36</v>
      </c>
    </row>
    <row r="3416" spans="1:5">
      <c r="A3416" s="177"/>
      <c r="B3416" s="181"/>
      <c r="C3416" s="178"/>
      <c r="D3416" s="179"/>
      <c r="E3416" s="180"/>
    </row>
    <row r="3417" spans="1:5">
      <c r="A3417" s="177" t="s">
        <v>3876</v>
      </c>
      <c r="B3417" s="94" t="s">
        <v>3175</v>
      </c>
      <c r="C3417" s="178" t="s">
        <v>3176</v>
      </c>
      <c r="D3417" s="97" t="s">
        <v>2489</v>
      </c>
      <c r="E3417" s="74">
        <f>ROUND(SUM(E3418),22)</f>
        <v>10</v>
      </c>
    </row>
    <row r="3418" spans="1:5">
      <c r="A3418" s="177"/>
      <c r="B3418" s="181"/>
      <c r="C3418" s="162" t="s">
        <v>3322</v>
      </c>
      <c r="D3418" s="99" t="s">
        <v>2488</v>
      </c>
      <c r="E3418" s="105">
        <v>10</v>
      </c>
    </row>
    <row r="3419" spans="1:5">
      <c r="A3419" s="177"/>
      <c r="B3419" s="181"/>
      <c r="C3419" s="182"/>
      <c r="D3419" s="183"/>
      <c r="E3419" s="184"/>
    </row>
    <row r="3420" spans="1:5" ht="27">
      <c r="A3420" s="177" t="s">
        <v>3877</v>
      </c>
      <c r="B3420" s="94" t="s">
        <v>3177</v>
      </c>
      <c r="C3420" s="178" t="s">
        <v>3182</v>
      </c>
      <c r="D3420" s="97" t="s">
        <v>2489</v>
      </c>
      <c r="E3420" s="74">
        <f>ROUND(SUM(E3421),22)</f>
        <v>4</v>
      </c>
    </row>
    <row r="3421" spans="1:5">
      <c r="A3421" s="177"/>
      <c r="B3421" s="181"/>
      <c r="C3421" s="162" t="s">
        <v>3322</v>
      </c>
      <c r="D3421" s="99" t="s">
        <v>2488</v>
      </c>
      <c r="E3421" s="105">
        <v>4</v>
      </c>
    </row>
    <row r="3422" spans="1:5">
      <c r="A3422" s="177"/>
      <c r="B3422" s="181"/>
      <c r="C3422" s="178"/>
      <c r="D3422" s="179"/>
      <c r="E3422" s="180"/>
    </row>
    <row r="3423" spans="1:5">
      <c r="A3423" s="177" t="s">
        <v>3878</v>
      </c>
      <c r="B3423" s="94" t="s">
        <v>3178</v>
      </c>
      <c r="C3423" s="178" t="s">
        <v>3181</v>
      </c>
      <c r="D3423" s="97" t="s">
        <v>2489</v>
      </c>
      <c r="E3423" s="74">
        <f>ROUND(SUM(E3424),22)</f>
        <v>16</v>
      </c>
    </row>
    <row r="3424" spans="1:5">
      <c r="A3424" s="177"/>
      <c r="B3424" s="181"/>
      <c r="C3424" s="162" t="s">
        <v>3322</v>
      </c>
      <c r="D3424" s="99" t="s">
        <v>2488</v>
      </c>
      <c r="E3424" s="105">
        <v>16</v>
      </c>
    </row>
    <row r="3425" spans="1:5">
      <c r="A3425" s="177"/>
      <c r="B3425" s="181"/>
      <c r="C3425" s="178"/>
      <c r="D3425" s="179"/>
      <c r="E3425" s="180"/>
    </row>
    <row r="3426" spans="1:5">
      <c r="A3426" s="177" t="s">
        <v>3879</v>
      </c>
      <c r="B3426" s="94" t="s">
        <v>3179</v>
      </c>
      <c r="C3426" s="178" t="s">
        <v>3180</v>
      </c>
      <c r="D3426" s="97" t="s">
        <v>2489</v>
      </c>
      <c r="E3426" s="74">
        <f>ROUND(SUM(E3427),22)</f>
        <v>365</v>
      </c>
    </row>
    <row r="3427" spans="1:5">
      <c r="A3427" s="177"/>
      <c r="B3427" s="181"/>
      <c r="C3427" s="162" t="s">
        <v>3322</v>
      </c>
      <c r="D3427" s="99" t="s">
        <v>2488</v>
      </c>
      <c r="E3427" s="105">
        <v>365</v>
      </c>
    </row>
    <row r="3428" spans="1:5">
      <c r="A3428" s="177"/>
      <c r="B3428" s="181"/>
      <c r="C3428" s="178"/>
      <c r="D3428" s="179"/>
      <c r="E3428" s="180"/>
    </row>
    <row r="3429" spans="1:5" ht="27">
      <c r="A3429" s="177" t="s">
        <v>3880</v>
      </c>
      <c r="B3429" s="94" t="s">
        <v>3183</v>
      </c>
      <c r="C3429" s="178" t="s">
        <v>3184</v>
      </c>
      <c r="D3429" s="97" t="s">
        <v>2489</v>
      </c>
      <c r="E3429" s="74">
        <f>ROUND(SUM(E3430),22)</f>
        <v>48</v>
      </c>
    </row>
    <row r="3430" spans="1:5">
      <c r="A3430" s="177"/>
      <c r="B3430" s="94"/>
      <c r="C3430" s="162" t="s">
        <v>3322</v>
      </c>
      <c r="D3430" s="99" t="s">
        <v>2488</v>
      </c>
      <c r="E3430" s="105">
        <v>48</v>
      </c>
    </row>
    <row r="3431" spans="1:5">
      <c r="A3431" s="177"/>
      <c r="B3431" s="181"/>
      <c r="C3431" s="178"/>
      <c r="D3431" s="179"/>
      <c r="E3431" s="180"/>
    </row>
    <row r="3432" spans="1:5" ht="27">
      <c r="A3432" s="177" t="s">
        <v>3881</v>
      </c>
      <c r="B3432" s="94" t="s">
        <v>3185</v>
      </c>
      <c r="C3432" s="178" t="s">
        <v>3186</v>
      </c>
      <c r="D3432" s="97" t="s">
        <v>2489</v>
      </c>
      <c r="E3432" s="74">
        <f>ROUND(SUM(E3433),22)</f>
        <v>20</v>
      </c>
    </row>
    <row r="3433" spans="1:5">
      <c r="A3433" s="177"/>
      <c r="B3433" s="94"/>
      <c r="C3433" s="162" t="s">
        <v>3322</v>
      </c>
      <c r="D3433" s="99" t="s">
        <v>2488</v>
      </c>
      <c r="E3433" s="105">
        <v>20</v>
      </c>
    </row>
    <row r="3434" spans="1:5">
      <c r="A3434" s="177"/>
      <c r="B3434" s="181"/>
      <c r="C3434" s="178"/>
      <c r="D3434" s="179"/>
      <c r="E3434" s="180"/>
    </row>
    <row r="3435" spans="1:5" ht="40.200000000000003">
      <c r="A3435" s="177" t="s">
        <v>3882</v>
      </c>
      <c r="B3435" s="94" t="s">
        <v>3187</v>
      </c>
      <c r="C3435" s="178" t="s">
        <v>3188</v>
      </c>
      <c r="D3435" s="97" t="s">
        <v>2489</v>
      </c>
      <c r="E3435" s="74">
        <f>ROUND(SUM(E3436),22)</f>
        <v>60</v>
      </c>
    </row>
    <row r="3436" spans="1:5">
      <c r="A3436" s="177"/>
      <c r="B3436" s="94"/>
      <c r="C3436" s="162" t="s">
        <v>3322</v>
      </c>
      <c r="D3436" s="99" t="s">
        <v>2488</v>
      </c>
      <c r="E3436" s="105">
        <v>60</v>
      </c>
    </row>
    <row r="3437" spans="1:5">
      <c r="A3437" s="177"/>
      <c r="B3437" s="181"/>
      <c r="C3437" s="182"/>
      <c r="D3437" s="183"/>
      <c r="E3437" s="184"/>
    </row>
    <row r="3438" spans="1:5" ht="27">
      <c r="A3438" s="177" t="s">
        <v>3883</v>
      </c>
      <c r="B3438" s="94" t="s">
        <v>3551</v>
      </c>
      <c r="C3438" s="178" t="s">
        <v>3190</v>
      </c>
      <c r="D3438" s="97" t="s">
        <v>2489</v>
      </c>
      <c r="E3438" s="74">
        <f>ROUND(SUM(E3439),22)</f>
        <v>10</v>
      </c>
    </row>
    <row r="3439" spans="1:5">
      <c r="A3439" s="177"/>
      <c r="B3439" s="94"/>
      <c r="C3439" s="162" t="s">
        <v>3322</v>
      </c>
      <c r="D3439" s="99" t="s">
        <v>2488</v>
      </c>
      <c r="E3439" s="105">
        <v>10</v>
      </c>
    </row>
    <row r="3440" spans="1:5">
      <c r="A3440" s="177"/>
      <c r="B3440" s="181"/>
      <c r="C3440" s="182"/>
      <c r="D3440" s="183"/>
      <c r="E3440" s="184"/>
    </row>
    <row r="3441" spans="1:5" ht="27">
      <c r="A3441" s="177" t="s">
        <v>3884</v>
      </c>
      <c r="B3441" s="94" t="s">
        <v>3192</v>
      </c>
      <c r="C3441" s="178" t="s">
        <v>3191</v>
      </c>
      <c r="D3441" s="97" t="s">
        <v>2489</v>
      </c>
      <c r="E3441" s="74">
        <f>ROUND(SUM(E3442),22)</f>
        <v>30</v>
      </c>
    </row>
    <row r="3442" spans="1:5">
      <c r="A3442" s="177"/>
      <c r="B3442" s="94"/>
      <c r="C3442" s="162" t="s">
        <v>3322</v>
      </c>
      <c r="D3442" s="99" t="s">
        <v>2488</v>
      </c>
      <c r="E3442" s="105">
        <v>30</v>
      </c>
    </row>
    <row r="3443" spans="1:5">
      <c r="A3443" s="177"/>
      <c r="B3443" s="181"/>
      <c r="C3443" s="178"/>
      <c r="D3443" s="179"/>
      <c r="E3443" s="180"/>
    </row>
    <row r="3444" spans="1:5" ht="27">
      <c r="A3444" s="177" t="s">
        <v>3885</v>
      </c>
      <c r="B3444" s="94" t="s">
        <v>3552</v>
      </c>
      <c r="C3444" s="178" t="s">
        <v>3194</v>
      </c>
      <c r="D3444" s="97" t="s">
        <v>2489</v>
      </c>
      <c r="E3444" s="74">
        <f>ROUND(SUM(E3445),22)</f>
        <v>15</v>
      </c>
    </row>
    <row r="3445" spans="1:5">
      <c r="A3445" s="177"/>
      <c r="B3445" s="94"/>
      <c r="C3445" s="162" t="s">
        <v>3322</v>
      </c>
      <c r="D3445" s="99" t="s">
        <v>2488</v>
      </c>
      <c r="E3445" s="105">
        <v>15</v>
      </c>
    </row>
    <row r="3446" spans="1:5">
      <c r="A3446" s="177"/>
      <c r="B3446" s="181"/>
      <c r="C3446" s="178"/>
      <c r="D3446" s="179"/>
      <c r="E3446" s="180"/>
    </row>
    <row r="3447" spans="1:5" ht="40.200000000000003">
      <c r="A3447" s="177" t="s">
        <v>3886</v>
      </c>
      <c r="B3447" s="94" t="s">
        <v>3765</v>
      </c>
      <c r="C3447" s="178" t="s">
        <v>3766</v>
      </c>
      <c r="D3447" s="97" t="s">
        <v>2489</v>
      </c>
      <c r="E3447" s="74">
        <f>ROUND(SUM(E3448:E3453),22)</f>
        <v>6</v>
      </c>
    </row>
    <row r="3448" spans="1:5">
      <c r="A3448" s="134"/>
      <c r="B3448" s="110"/>
      <c r="C3448" s="111" t="s">
        <v>3759</v>
      </c>
      <c r="D3448" s="108" t="s">
        <v>2488</v>
      </c>
      <c r="E3448" s="120">
        <v>1</v>
      </c>
    </row>
    <row r="3449" spans="1:5">
      <c r="A3449" s="134"/>
      <c r="B3449" s="110"/>
      <c r="C3449" s="111" t="s">
        <v>3760</v>
      </c>
      <c r="D3449" s="108" t="s">
        <v>2488</v>
      </c>
      <c r="E3449" s="120">
        <v>1</v>
      </c>
    </row>
    <row r="3450" spans="1:5">
      <c r="A3450" s="134"/>
      <c r="B3450" s="110"/>
      <c r="C3450" s="111" t="s">
        <v>3761</v>
      </c>
      <c r="D3450" s="108" t="s">
        <v>2488</v>
      </c>
      <c r="E3450" s="120">
        <v>1</v>
      </c>
    </row>
    <row r="3451" spans="1:5">
      <c r="A3451" s="134"/>
      <c r="B3451" s="110"/>
      <c r="C3451" s="111" t="s">
        <v>3762</v>
      </c>
      <c r="D3451" s="108" t="s">
        <v>2488</v>
      </c>
      <c r="E3451" s="120">
        <v>1</v>
      </c>
    </row>
    <row r="3452" spans="1:5">
      <c r="A3452" s="98"/>
      <c r="B3452" s="99"/>
      <c r="C3452" s="104" t="s">
        <v>3763</v>
      </c>
      <c r="D3452" s="99" t="s">
        <v>2488</v>
      </c>
      <c r="E3452" s="101">
        <v>1</v>
      </c>
    </row>
    <row r="3453" spans="1:5">
      <c r="A3453" s="98"/>
      <c r="B3453" s="99"/>
      <c r="C3453" s="104" t="s">
        <v>3764</v>
      </c>
      <c r="D3453" s="99" t="s">
        <v>2488</v>
      </c>
      <c r="E3453" s="101">
        <v>1</v>
      </c>
    </row>
    <row r="3454" spans="1:5">
      <c r="A3454" s="343"/>
      <c r="B3454" s="344"/>
      <c r="C3454" s="345"/>
      <c r="D3454" s="346"/>
      <c r="E3454" s="347"/>
    </row>
    <row r="3455" spans="1:5" ht="26.4">
      <c r="A3455" s="96" t="s">
        <v>3887</v>
      </c>
      <c r="B3455" s="97" t="s">
        <v>3488</v>
      </c>
      <c r="C3455" s="103" t="s">
        <v>3061</v>
      </c>
      <c r="D3455" s="97" t="s">
        <v>2616</v>
      </c>
      <c r="E3455" s="74">
        <f>ROUND(E3456+E3457,2)</f>
        <v>9.68</v>
      </c>
    </row>
    <row r="3456" spans="1:5">
      <c r="A3456" s="98"/>
      <c r="B3456" s="99"/>
      <c r="C3456" s="104" t="s">
        <v>3675</v>
      </c>
      <c r="D3456" s="99" t="s">
        <v>2616</v>
      </c>
      <c r="E3456" s="101">
        <f>1.1*2.2*2</f>
        <v>4.8400000000000007</v>
      </c>
    </row>
    <row r="3457" spans="1:5">
      <c r="A3457" s="98"/>
      <c r="B3457" s="99"/>
      <c r="C3457" s="104" t="s">
        <v>3676</v>
      </c>
      <c r="D3457" s="99" t="s">
        <v>2616</v>
      </c>
      <c r="E3457" s="101">
        <f>1.1*2.2*2</f>
        <v>4.8400000000000007</v>
      </c>
    </row>
    <row r="3458" spans="1:5">
      <c r="A3458" s="241"/>
      <c r="B3458" s="242"/>
      <c r="C3458" s="243"/>
      <c r="D3458" s="244"/>
      <c r="E3458" s="245"/>
    </row>
    <row r="3459" spans="1:5" ht="26.4">
      <c r="A3459" s="96" t="s">
        <v>3888</v>
      </c>
      <c r="B3459" s="97" t="s">
        <v>2780</v>
      </c>
      <c r="C3459" s="103" t="s">
        <v>2712</v>
      </c>
      <c r="D3459" s="97" t="s">
        <v>2616</v>
      </c>
      <c r="E3459" s="74">
        <f>ROUND(E3460+E3461+E3462+E3463+E3464+E3465+E3466+E3467+E3468+E3469+E3470+E3471+E3472,2)</f>
        <v>84.48</v>
      </c>
    </row>
    <row r="3460" spans="1:5">
      <c r="A3460" s="98"/>
      <c r="B3460" s="99"/>
      <c r="C3460" s="104" t="s">
        <v>3677</v>
      </c>
      <c r="D3460" s="99" t="s">
        <v>2616</v>
      </c>
      <c r="E3460" s="101">
        <f>2*1.1*1.6</f>
        <v>3.5200000000000005</v>
      </c>
    </row>
    <row r="3461" spans="1:5">
      <c r="A3461" s="98"/>
      <c r="B3461" s="99"/>
      <c r="C3461" s="104" t="s">
        <v>3678</v>
      </c>
      <c r="D3461" s="99" t="s">
        <v>2616</v>
      </c>
      <c r="E3461" s="101">
        <f>2*1.1*1.6</f>
        <v>3.5200000000000005</v>
      </c>
    </row>
    <row r="3462" spans="1:5">
      <c r="A3462" s="98"/>
      <c r="B3462" s="99"/>
      <c r="C3462" s="104" t="s">
        <v>3679</v>
      </c>
      <c r="D3462" s="99" t="s">
        <v>2616</v>
      </c>
      <c r="E3462" s="101">
        <f>1.1*1.6*3</f>
        <v>5.2800000000000011</v>
      </c>
    </row>
    <row r="3463" spans="1:5">
      <c r="A3463" s="98"/>
      <c r="B3463" s="99"/>
      <c r="C3463" s="104" t="s">
        <v>3680</v>
      </c>
      <c r="D3463" s="99" t="s">
        <v>2616</v>
      </c>
      <c r="E3463" s="101">
        <f>1.1*1.6*5</f>
        <v>8.8000000000000007</v>
      </c>
    </row>
    <row r="3464" spans="1:5">
      <c r="A3464" s="98"/>
      <c r="B3464" s="99"/>
      <c r="C3464" s="104" t="s">
        <v>3681</v>
      </c>
      <c r="D3464" s="99" t="s">
        <v>2616</v>
      </c>
      <c r="E3464" s="101">
        <f>1.1*1.6*7</f>
        <v>12.320000000000002</v>
      </c>
    </row>
    <row r="3465" spans="1:5">
      <c r="A3465" s="98"/>
      <c r="B3465" s="99"/>
      <c r="C3465" s="104" t="s">
        <v>3682</v>
      </c>
      <c r="D3465" s="99" t="s">
        <v>2616</v>
      </c>
      <c r="E3465" s="101">
        <f>1.1*1.6*2</f>
        <v>3.5200000000000005</v>
      </c>
    </row>
    <row r="3466" spans="1:5">
      <c r="A3466" s="98"/>
      <c r="B3466" s="99"/>
      <c r="C3466" s="104" t="s">
        <v>3683</v>
      </c>
      <c r="D3466" s="99" t="s">
        <v>2616</v>
      </c>
      <c r="E3466" s="101">
        <f>1.1*1.6*3</f>
        <v>5.2800000000000011</v>
      </c>
    </row>
    <row r="3467" spans="1:5">
      <c r="A3467" s="98"/>
      <c r="B3467" s="99"/>
      <c r="C3467" s="104" t="s">
        <v>3684</v>
      </c>
      <c r="D3467" s="99" t="s">
        <v>2616</v>
      </c>
      <c r="E3467" s="101">
        <f>1.1*1.6*4</f>
        <v>7.0400000000000009</v>
      </c>
    </row>
    <row r="3468" spans="1:5">
      <c r="A3468" s="98"/>
      <c r="B3468" s="99"/>
      <c r="C3468" s="104" t="s">
        <v>3685</v>
      </c>
      <c r="D3468" s="99" t="s">
        <v>2616</v>
      </c>
      <c r="E3468" s="101">
        <f>1.1*1.6*4</f>
        <v>7.0400000000000009</v>
      </c>
    </row>
    <row r="3469" spans="1:5">
      <c r="A3469" s="98"/>
      <c r="B3469" s="99"/>
      <c r="C3469" s="104" t="s">
        <v>3689</v>
      </c>
      <c r="D3469" s="99" t="s">
        <v>2616</v>
      </c>
      <c r="E3469" s="101">
        <f t="shared" ref="E3469:E3471" si="2">1.1*1.6*4</f>
        <v>7.0400000000000009</v>
      </c>
    </row>
    <row r="3470" spans="1:5">
      <c r="A3470" s="98"/>
      <c r="B3470" s="99"/>
      <c r="C3470" s="104" t="s">
        <v>3688</v>
      </c>
      <c r="D3470" s="99" t="s">
        <v>2616</v>
      </c>
      <c r="E3470" s="101">
        <f t="shared" si="2"/>
        <v>7.0400000000000009</v>
      </c>
    </row>
    <row r="3471" spans="1:5">
      <c r="A3471" s="98"/>
      <c r="B3471" s="99"/>
      <c r="C3471" s="104" t="s">
        <v>3687</v>
      </c>
      <c r="D3471" s="99" t="s">
        <v>2616</v>
      </c>
      <c r="E3471" s="101">
        <f t="shared" si="2"/>
        <v>7.0400000000000009</v>
      </c>
    </row>
    <row r="3472" spans="1:5">
      <c r="A3472" s="98"/>
      <c r="B3472" s="99"/>
      <c r="C3472" s="104" t="s">
        <v>3686</v>
      </c>
      <c r="D3472" s="99" t="s">
        <v>2616</v>
      </c>
      <c r="E3472" s="101">
        <f>1.1*1.6*4</f>
        <v>7.0400000000000009</v>
      </c>
    </row>
    <row r="3473" spans="1:5" ht="26.4" customHeight="1">
      <c r="A3473" s="533" t="s">
        <v>4135</v>
      </c>
      <c r="B3473" s="533"/>
      <c r="C3473" s="533"/>
      <c r="D3473" s="533"/>
      <c r="E3473" s="533"/>
    </row>
  </sheetData>
  <mergeCells count="6">
    <mergeCell ref="F385:F386"/>
    <mergeCell ref="A3473:E3473"/>
    <mergeCell ref="A1:E1"/>
    <mergeCell ref="B3:E3"/>
    <mergeCell ref="B4:E4"/>
    <mergeCell ref="B5:E5"/>
  </mergeCells>
  <phoneticPr fontId="27" type="noConversion"/>
  <pageMargins left="0.51181102362204722" right="0.51181102362204722" top="1.0236220472440944" bottom="0.86614173228346458" header="0.31496062992125984" footer="0.31496062992125984"/>
  <pageSetup paperSize="9" scale="84" fitToHeight="0" orientation="portrait" r:id="rId1"/>
  <headerFooter>
    <oddHeader>&amp;C&amp;G</oddHeader>
    <oddFooter>&amp;L&amp;G&amp;CPágina &amp;P de &amp;N&amp;R_______________________________
Lorena Araújo Silva
Eng. Civil CREA 1015611540D -GO</oddFooter>
  </headerFooter>
  <ignoredErrors>
    <ignoredError sqref="E259 E2941 E75 E2515 E2561:E2562 E87 E2564 E2905 E2466 E2544"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WVJ507"/>
  <sheetViews>
    <sheetView topLeftCell="B1" zoomScale="70" zoomScaleNormal="70" zoomScaleSheetLayoutView="90" zoomScalePageLayoutView="80" workbookViewId="0">
      <selection activeCell="D13" sqref="D13"/>
    </sheetView>
  </sheetViews>
  <sheetFormatPr defaultColWidth="11.44140625" defaultRowHeight="15"/>
  <cols>
    <col min="1" max="1" width="32.6640625" style="220" hidden="1" customWidth="1"/>
    <col min="2" max="2" width="15" style="221" bestFit="1" customWidth="1"/>
    <col min="3" max="3" width="98.5546875" style="222" customWidth="1"/>
    <col min="4" max="4" width="19.88671875" style="223" bestFit="1" customWidth="1"/>
    <col min="5" max="5" width="33.44140625" style="219" customWidth="1"/>
    <col min="6" max="6" width="5" style="219" bestFit="1" customWidth="1"/>
    <col min="7" max="7" width="18.44140625" style="219" bestFit="1" customWidth="1"/>
    <col min="8" max="8" width="12.6640625" style="224" bestFit="1" customWidth="1"/>
    <col min="9" max="9" width="10.109375" style="224" bestFit="1" customWidth="1"/>
    <col min="10" max="10" width="21.6640625" style="224" bestFit="1" customWidth="1"/>
    <col min="11" max="11" width="19.44140625" style="219" bestFit="1" customWidth="1"/>
    <col min="12" max="12" width="15.33203125" style="220" bestFit="1" customWidth="1"/>
    <col min="13" max="13" width="14" style="220" customWidth="1"/>
    <col min="14" max="15" width="12.6640625" style="220" bestFit="1" customWidth="1"/>
    <col min="16" max="16" width="3.88671875" style="220" bestFit="1" customWidth="1"/>
    <col min="17" max="18" width="11.44140625" style="220"/>
    <col min="19" max="20" width="12.6640625" style="220" bestFit="1" customWidth="1"/>
    <col min="21" max="21" width="13.88671875" style="220" bestFit="1" customWidth="1"/>
    <col min="22" max="257" width="11.44140625" style="220"/>
    <col min="258" max="258" width="11.44140625" style="220" hidden="1" customWidth="1"/>
    <col min="259" max="259" width="32.109375" style="220" customWidth="1"/>
    <col min="260" max="260" width="57.109375" style="220" customWidth="1"/>
    <col min="261" max="261" width="5.109375" style="220" customWidth="1"/>
    <col min="262" max="262" width="13" style="220" customWidth="1"/>
    <col min="263" max="263" width="20.88671875" style="220" customWidth="1"/>
    <col min="264" max="264" width="12.5546875" style="220" customWidth="1"/>
    <col min="265" max="265" width="16.6640625" style="220" customWidth="1"/>
    <col min="266" max="266" width="21.44140625" style="220" customWidth="1"/>
    <col min="267" max="267" width="14.88671875" style="220" customWidth="1"/>
    <col min="268" max="268" width="11.44140625" style="220" customWidth="1"/>
    <col min="269" max="269" width="14" style="220" customWidth="1"/>
    <col min="270" max="513" width="11.44140625" style="220"/>
    <col min="514" max="514" width="11.44140625" style="220" hidden="1" customWidth="1"/>
    <col min="515" max="515" width="32.109375" style="220" customWidth="1"/>
    <col min="516" max="516" width="57.109375" style="220" customWidth="1"/>
    <col min="517" max="517" width="5.109375" style="220" customWidth="1"/>
    <col min="518" max="518" width="13" style="220" customWidth="1"/>
    <col min="519" max="519" width="20.88671875" style="220" customWidth="1"/>
    <col min="520" max="520" width="12.5546875" style="220" customWidth="1"/>
    <col min="521" max="521" width="16.6640625" style="220" customWidth="1"/>
    <col min="522" max="522" width="21.44140625" style="220" customWidth="1"/>
    <col min="523" max="523" width="14.88671875" style="220" customWidth="1"/>
    <col min="524" max="524" width="11.44140625" style="220" customWidth="1"/>
    <col min="525" max="525" width="14" style="220" customWidth="1"/>
    <col min="526" max="769" width="11.44140625" style="220"/>
    <col min="770" max="770" width="11.44140625" style="220" hidden="1" customWidth="1"/>
    <col min="771" max="771" width="32.109375" style="220" customWidth="1"/>
    <col min="772" max="772" width="57.109375" style="220" customWidth="1"/>
    <col min="773" max="773" width="5.109375" style="220" customWidth="1"/>
    <col min="774" max="774" width="13" style="220" customWidth="1"/>
    <col min="775" max="775" width="20.88671875" style="220" customWidth="1"/>
    <col min="776" max="776" width="12.5546875" style="220" customWidth="1"/>
    <col min="777" max="777" width="16.6640625" style="220" customWidth="1"/>
    <col min="778" max="778" width="21.44140625" style="220" customWidth="1"/>
    <col min="779" max="779" width="14.88671875" style="220" customWidth="1"/>
    <col min="780" max="780" width="11.44140625" style="220" customWidth="1"/>
    <col min="781" max="781" width="14" style="220" customWidth="1"/>
    <col min="782" max="1025" width="11.44140625" style="220"/>
    <col min="1026" max="1026" width="11.44140625" style="220" hidden="1" customWidth="1"/>
    <col min="1027" max="1027" width="32.109375" style="220" customWidth="1"/>
    <col min="1028" max="1028" width="57.109375" style="220" customWidth="1"/>
    <col min="1029" max="1029" width="5.109375" style="220" customWidth="1"/>
    <col min="1030" max="1030" width="13" style="220" customWidth="1"/>
    <col min="1031" max="1031" width="20.88671875" style="220" customWidth="1"/>
    <col min="1032" max="1032" width="12.5546875" style="220" customWidth="1"/>
    <col min="1033" max="1033" width="16.6640625" style="220" customWidth="1"/>
    <col min="1034" max="1034" width="21.44140625" style="220" customWidth="1"/>
    <col min="1035" max="1035" width="14.88671875" style="220" customWidth="1"/>
    <col min="1036" max="1036" width="11.44140625" style="220" customWidth="1"/>
    <col min="1037" max="1037" width="14" style="220" customWidth="1"/>
    <col min="1038" max="1281" width="11.44140625" style="220"/>
    <col min="1282" max="1282" width="11.44140625" style="220" hidden="1" customWidth="1"/>
    <col min="1283" max="1283" width="32.109375" style="220" customWidth="1"/>
    <col min="1284" max="1284" width="57.109375" style="220" customWidth="1"/>
    <col min="1285" max="1285" width="5.109375" style="220" customWidth="1"/>
    <col min="1286" max="1286" width="13" style="220" customWidth="1"/>
    <col min="1287" max="1287" width="20.88671875" style="220" customWidth="1"/>
    <col min="1288" max="1288" width="12.5546875" style="220" customWidth="1"/>
    <col min="1289" max="1289" width="16.6640625" style="220" customWidth="1"/>
    <col min="1290" max="1290" width="21.44140625" style="220" customWidth="1"/>
    <col min="1291" max="1291" width="14.88671875" style="220" customWidth="1"/>
    <col min="1292" max="1292" width="11.44140625" style="220" customWidth="1"/>
    <col min="1293" max="1293" width="14" style="220" customWidth="1"/>
    <col min="1294" max="1537" width="11.44140625" style="220"/>
    <col min="1538" max="1538" width="11.44140625" style="220" hidden="1" customWidth="1"/>
    <col min="1539" max="1539" width="32.109375" style="220" customWidth="1"/>
    <col min="1540" max="1540" width="57.109375" style="220" customWidth="1"/>
    <col min="1541" max="1541" width="5.109375" style="220" customWidth="1"/>
    <col min="1542" max="1542" width="13" style="220" customWidth="1"/>
    <col min="1543" max="1543" width="20.88671875" style="220" customWidth="1"/>
    <col min="1544" max="1544" width="12.5546875" style="220" customWidth="1"/>
    <col min="1545" max="1545" width="16.6640625" style="220" customWidth="1"/>
    <col min="1546" max="1546" width="21.44140625" style="220" customWidth="1"/>
    <col min="1547" max="1547" width="14.88671875" style="220" customWidth="1"/>
    <col min="1548" max="1548" width="11.44140625" style="220" customWidth="1"/>
    <col min="1549" max="1549" width="14" style="220" customWidth="1"/>
    <col min="1550" max="1793" width="11.44140625" style="220"/>
    <col min="1794" max="1794" width="11.44140625" style="220" hidden="1" customWidth="1"/>
    <col min="1795" max="1795" width="32.109375" style="220" customWidth="1"/>
    <col min="1796" max="1796" width="57.109375" style="220" customWidth="1"/>
    <col min="1797" max="1797" width="5.109375" style="220" customWidth="1"/>
    <col min="1798" max="1798" width="13" style="220" customWidth="1"/>
    <col min="1799" max="1799" width="20.88671875" style="220" customWidth="1"/>
    <col min="1800" max="1800" width="12.5546875" style="220" customWidth="1"/>
    <col min="1801" max="1801" width="16.6640625" style="220" customWidth="1"/>
    <col min="1802" max="1802" width="21.44140625" style="220" customWidth="1"/>
    <col min="1803" max="1803" width="14.88671875" style="220" customWidth="1"/>
    <col min="1804" max="1804" width="11.44140625" style="220" customWidth="1"/>
    <col min="1805" max="1805" width="14" style="220" customWidth="1"/>
    <col min="1806" max="2049" width="11.44140625" style="220"/>
    <col min="2050" max="2050" width="11.44140625" style="220" hidden="1" customWidth="1"/>
    <col min="2051" max="2051" width="32.109375" style="220" customWidth="1"/>
    <col min="2052" max="2052" width="57.109375" style="220" customWidth="1"/>
    <col min="2053" max="2053" width="5.109375" style="220" customWidth="1"/>
    <col min="2054" max="2054" width="13" style="220" customWidth="1"/>
    <col min="2055" max="2055" width="20.88671875" style="220" customWidth="1"/>
    <col min="2056" max="2056" width="12.5546875" style="220" customWidth="1"/>
    <col min="2057" max="2057" width="16.6640625" style="220" customWidth="1"/>
    <col min="2058" max="2058" width="21.44140625" style="220" customWidth="1"/>
    <col min="2059" max="2059" width="14.88671875" style="220" customWidth="1"/>
    <col min="2060" max="2060" width="11.44140625" style="220" customWidth="1"/>
    <col min="2061" max="2061" width="14" style="220" customWidth="1"/>
    <col min="2062" max="2305" width="11.44140625" style="220"/>
    <col min="2306" max="2306" width="11.44140625" style="220" hidden="1" customWidth="1"/>
    <col min="2307" max="2307" width="32.109375" style="220" customWidth="1"/>
    <col min="2308" max="2308" width="57.109375" style="220" customWidth="1"/>
    <col min="2309" max="2309" width="5.109375" style="220" customWidth="1"/>
    <col min="2310" max="2310" width="13" style="220" customWidth="1"/>
    <col min="2311" max="2311" width="20.88671875" style="220" customWidth="1"/>
    <col min="2312" max="2312" width="12.5546875" style="220" customWidth="1"/>
    <col min="2313" max="2313" width="16.6640625" style="220" customWidth="1"/>
    <col min="2314" max="2314" width="21.44140625" style="220" customWidth="1"/>
    <col min="2315" max="2315" width="14.88671875" style="220" customWidth="1"/>
    <col min="2316" max="2316" width="11.44140625" style="220" customWidth="1"/>
    <col min="2317" max="2317" width="14" style="220" customWidth="1"/>
    <col min="2318" max="2561" width="11.44140625" style="220"/>
    <col min="2562" max="2562" width="11.44140625" style="220" hidden="1" customWidth="1"/>
    <col min="2563" max="2563" width="32.109375" style="220" customWidth="1"/>
    <col min="2564" max="2564" width="57.109375" style="220" customWidth="1"/>
    <col min="2565" max="2565" width="5.109375" style="220" customWidth="1"/>
    <col min="2566" max="2566" width="13" style="220" customWidth="1"/>
    <col min="2567" max="2567" width="20.88671875" style="220" customWidth="1"/>
    <col min="2568" max="2568" width="12.5546875" style="220" customWidth="1"/>
    <col min="2569" max="2569" width="16.6640625" style="220" customWidth="1"/>
    <col min="2570" max="2570" width="21.44140625" style="220" customWidth="1"/>
    <col min="2571" max="2571" width="14.88671875" style="220" customWidth="1"/>
    <col min="2572" max="2572" width="11.44140625" style="220" customWidth="1"/>
    <col min="2573" max="2573" width="14" style="220" customWidth="1"/>
    <col min="2574" max="2817" width="11.44140625" style="220"/>
    <col min="2818" max="2818" width="11.44140625" style="220" hidden="1" customWidth="1"/>
    <col min="2819" max="2819" width="32.109375" style="220" customWidth="1"/>
    <col min="2820" max="2820" width="57.109375" style="220" customWidth="1"/>
    <col min="2821" max="2821" width="5.109375" style="220" customWidth="1"/>
    <col min="2822" max="2822" width="13" style="220" customWidth="1"/>
    <col min="2823" max="2823" width="20.88671875" style="220" customWidth="1"/>
    <col min="2824" max="2824" width="12.5546875" style="220" customWidth="1"/>
    <col min="2825" max="2825" width="16.6640625" style="220" customWidth="1"/>
    <col min="2826" max="2826" width="21.44140625" style="220" customWidth="1"/>
    <col min="2827" max="2827" width="14.88671875" style="220" customWidth="1"/>
    <col min="2828" max="2828" width="11.44140625" style="220" customWidth="1"/>
    <col min="2829" max="2829" width="14" style="220" customWidth="1"/>
    <col min="2830" max="3073" width="11.44140625" style="220"/>
    <col min="3074" max="3074" width="11.44140625" style="220" hidden="1" customWidth="1"/>
    <col min="3075" max="3075" width="32.109375" style="220" customWidth="1"/>
    <col min="3076" max="3076" width="57.109375" style="220" customWidth="1"/>
    <col min="3077" max="3077" width="5.109375" style="220" customWidth="1"/>
    <col min="3078" max="3078" width="13" style="220" customWidth="1"/>
    <col min="3079" max="3079" width="20.88671875" style="220" customWidth="1"/>
    <col min="3080" max="3080" width="12.5546875" style="220" customWidth="1"/>
    <col min="3081" max="3081" width="16.6640625" style="220" customWidth="1"/>
    <col min="3082" max="3082" width="21.44140625" style="220" customWidth="1"/>
    <col min="3083" max="3083" width="14.88671875" style="220" customWidth="1"/>
    <col min="3084" max="3084" width="11.44140625" style="220" customWidth="1"/>
    <col min="3085" max="3085" width="14" style="220" customWidth="1"/>
    <col min="3086" max="3329" width="11.44140625" style="220"/>
    <col min="3330" max="3330" width="11.44140625" style="220" hidden="1" customWidth="1"/>
    <col min="3331" max="3331" width="32.109375" style="220" customWidth="1"/>
    <col min="3332" max="3332" width="57.109375" style="220" customWidth="1"/>
    <col min="3333" max="3333" width="5.109375" style="220" customWidth="1"/>
    <col min="3334" max="3334" width="13" style="220" customWidth="1"/>
    <col min="3335" max="3335" width="20.88671875" style="220" customWidth="1"/>
    <col min="3336" max="3336" width="12.5546875" style="220" customWidth="1"/>
    <col min="3337" max="3337" width="16.6640625" style="220" customWidth="1"/>
    <col min="3338" max="3338" width="21.44140625" style="220" customWidth="1"/>
    <col min="3339" max="3339" width="14.88671875" style="220" customWidth="1"/>
    <col min="3340" max="3340" width="11.44140625" style="220" customWidth="1"/>
    <col min="3341" max="3341" width="14" style="220" customWidth="1"/>
    <col min="3342" max="3585" width="11.44140625" style="220"/>
    <col min="3586" max="3586" width="11.44140625" style="220" hidden="1" customWidth="1"/>
    <col min="3587" max="3587" width="32.109375" style="220" customWidth="1"/>
    <col min="3588" max="3588" width="57.109375" style="220" customWidth="1"/>
    <col min="3589" max="3589" width="5.109375" style="220" customWidth="1"/>
    <col min="3590" max="3590" width="13" style="220" customWidth="1"/>
    <col min="3591" max="3591" width="20.88671875" style="220" customWidth="1"/>
    <col min="3592" max="3592" width="12.5546875" style="220" customWidth="1"/>
    <col min="3593" max="3593" width="16.6640625" style="220" customWidth="1"/>
    <col min="3594" max="3594" width="21.44140625" style="220" customWidth="1"/>
    <col min="3595" max="3595" width="14.88671875" style="220" customWidth="1"/>
    <col min="3596" max="3596" width="11.44140625" style="220" customWidth="1"/>
    <col min="3597" max="3597" width="14" style="220" customWidth="1"/>
    <col min="3598" max="3841" width="11.44140625" style="220"/>
    <col min="3842" max="3842" width="11.44140625" style="220" hidden="1" customWidth="1"/>
    <col min="3843" max="3843" width="32.109375" style="220" customWidth="1"/>
    <col min="3844" max="3844" width="57.109375" style="220" customWidth="1"/>
    <col min="3845" max="3845" width="5.109375" style="220" customWidth="1"/>
    <col min="3846" max="3846" width="13" style="220" customWidth="1"/>
    <col min="3847" max="3847" width="20.88671875" style="220" customWidth="1"/>
    <col min="3848" max="3848" width="12.5546875" style="220" customWidth="1"/>
    <col min="3849" max="3849" width="16.6640625" style="220" customWidth="1"/>
    <col min="3850" max="3850" width="21.44140625" style="220" customWidth="1"/>
    <col min="3851" max="3851" width="14.88671875" style="220" customWidth="1"/>
    <col min="3852" max="3852" width="11.44140625" style="220" customWidth="1"/>
    <col min="3853" max="3853" width="14" style="220" customWidth="1"/>
    <col min="3854" max="4097" width="11.44140625" style="220"/>
    <col min="4098" max="4098" width="11.44140625" style="220" hidden="1" customWidth="1"/>
    <col min="4099" max="4099" width="32.109375" style="220" customWidth="1"/>
    <col min="4100" max="4100" width="57.109375" style="220" customWidth="1"/>
    <col min="4101" max="4101" width="5.109375" style="220" customWidth="1"/>
    <col min="4102" max="4102" width="13" style="220" customWidth="1"/>
    <col min="4103" max="4103" width="20.88671875" style="220" customWidth="1"/>
    <col min="4104" max="4104" width="12.5546875" style="220" customWidth="1"/>
    <col min="4105" max="4105" width="16.6640625" style="220" customWidth="1"/>
    <col min="4106" max="4106" width="21.44140625" style="220" customWidth="1"/>
    <col min="4107" max="4107" width="14.88671875" style="220" customWidth="1"/>
    <col min="4108" max="4108" width="11.44140625" style="220" customWidth="1"/>
    <col min="4109" max="4109" width="14" style="220" customWidth="1"/>
    <col min="4110" max="4353" width="11.44140625" style="220"/>
    <col min="4354" max="4354" width="11.44140625" style="220" hidden="1" customWidth="1"/>
    <col min="4355" max="4355" width="32.109375" style="220" customWidth="1"/>
    <col min="4356" max="4356" width="57.109375" style="220" customWidth="1"/>
    <col min="4357" max="4357" width="5.109375" style="220" customWidth="1"/>
    <col min="4358" max="4358" width="13" style="220" customWidth="1"/>
    <col min="4359" max="4359" width="20.88671875" style="220" customWidth="1"/>
    <col min="4360" max="4360" width="12.5546875" style="220" customWidth="1"/>
    <col min="4361" max="4361" width="16.6640625" style="220" customWidth="1"/>
    <col min="4362" max="4362" width="21.44140625" style="220" customWidth="1"/>
    <col min="4363" max="4363" width="14.88671875" style="220" customWidth="1"/>
    <col min="4364" max="4364" width="11.44140625" style="220" customWidth="1"/>
    <col min="4365" max="4365" width="14" style="220" customWidth="1"/>
    <col min="4366" max="4609" width="11.44140625" style="220"/>
    <col min="4610" max="4610" width="11.44140625" style="220" hidden="1" customWidth="1"/>
    <col min="4611" max="4611" width="32.109375" style="220" customWidth="1"/>
    <col min="4612" max="4612" width="57.109375" style="220" customWidth="1"/>
    <col min="4613" max="4613" width="5.109375" style="220" customWidth="1"/>
    <col min="4614" max="4614" width="13" style="220" customWidth="1"/>
    <col min="4615" max="4615" width="20.88671875" style="220" customWidth="1"/>
    <col min="4616" max="4616" width="12.5546875" style="220" customWidth="1"/>
    <col min="4617" max="4617" width="16.6640625" style="220" customWidth="1"/>
    <col min="4618" max="4618" width="21.44140625" style="220" customWidth="1"/>
    <col min="4619" max="4619" width="14.88671875" style="220" customWidth="1"/>
    <col min="4620" max="4620" width="11.44140625" style="220" customWidth="1"/>
    <col min="4621" max="4621" width="14" style="220" customWidth="1"/>
    <col min="4622" max="4865" width="11.44140625" style="220"/>
    <col min="4866" max="4866" width="11.44140625" style="220" hidden="1" customWidth="1"/>
    <col min="4867" max="4867" width="32.109375" style="220" customWidth="1"/>
    <col min="4868" max="4868" width="57.109375" style="220" customWidth="1"/>
    <col min="4869" max="4869" width="5.109375" style="220" customWidth="1"/>
    <col min="4870" max="4870" width="13" style="220" customWidth="1"/>
    <col min="4871" max="4871" width="20.88671875" style="220" customWidth="1"/>
    <col min="4872" max="4872" width="12.5546875" style="220" customWidth="1"/>
    <col min="4873" max="4873" width="16.6640625" style="220" customWidth="1"/>
    <col min="4874" max="4874" width="21.44140625" style="220" customWidth="1"/>
    <col min="4875" max="4875" width="14.88671875" style="220" customWidth="1"/>
    <col min="4876" max="4876" width="11.44140625" style="220" customWidth="1"/>
    <col min="4877" max="4877" width="14" style="220" customWidth="1"/>
    <col min="4878" max="5121" width="11.44140625" style="220"/>
    <col min="5122" max="5122" width="11.44140625" style="220" hidden="1" customWidth="1"/>
    <col min="5123" max="5123" width="32.109375" style="220" customWidth="1"/>
    <col min="5124" max="5124" width="57.109375" style="220" customWidth="1"/>
    <col min="5125" max="5125" width="5.109375" style="220" customWidth="1"/>
    <col min="5126" max="5126" width="13" style="220" customWidth="1"/>
    <col min="5127" max="5127" width="20.88671875" style="220" customWidth="1"/>
    <col min="5128" max="5128" width="12.5546875" style="220" customWidth="1"/>
    <col min="5129" max="5129" width="16.6640625" style="220" customWidth="1"/>
    <col min="5130" max="5130" width="21.44140625" style="220" customWidth="1"/>
    <col min="5131" max="5131" width="14.88671875" style="220" customWidth="1"/>
    <col min="5132" max="5132" width="11.44140625" style="220" customWidth="1"/>
    <col min="5133" max="5133" width="14" style="220" customWidth="1"/>
    <col min="5134" max="5377" width="11.44140625" style="220"/>
    <col min="5378" max="5378" width="11.44140625" style="220" hidden="1" customWidth="1"/>
    <col min="5379" max="5379" width="32.109375" style="220" customWidth="1"/>
    <col min="5380" max="5380" width="57.109375" style="220" customWidth="1"/>
    <col min="5381" max="5381" width="5.109375" style="220" customWidth="1"/>
    <col min="5382" max="5382" width="13" style="220" customWidth="1"/>
    <col min="5383" max="5383" width="20.88671875" style="220" customWidth="1"/>
    <col min="5384" max="5384" width="12.5546875" style="220" customWidth="1"/>
    <col min="5385" max="5385" width="16.6640625" style="220" customWidth="1"/>
    <col min="5386" max="5386" width="21.44140625" style="220" customWidth="1"/>
    <col min="5387" max="5387" width="14.88671875" style="220" customWidth="1"/>
    <col min="5388" max="5388" width="11.44140625" style="220" customWidth="1"/>
    <col min="5389" max="5389" width="14" style="220" customWidth="1"/>
    <col min="5390" max="5633" width="11.44140625" style="220"/>
    <col min="5634" max="5634" width="11.44140625" style="220" hidden="1" customWidth="1"/>
    <col min="5635" max="5635" width="32.109375" style="220" customWidth="1"/>
    <col min="5636" max="5636" width="57.109375" style="220" customWidth="1"/>
    <col min="5637" max="5637" width="5.109375" style="220" customWidth="1"/>
    <col min="5638" max="5638" width="13" style="220" customWidth="1"/>
    <col min="5639" max="5639" width="20.88671875" style="220" customWidth="1"/>
    <col min="5640" max="5640" width="12.5546875" style="220" customWidth="1"/>
    <col min="5641" max="5641" width="16.6640625" style="220" customWidth="1"/>
    <col min="5642" max="5642" width="21.44140625" style="220" customWidth="1"/>
    <col min="5643" max="5643" width="14.88671875" style="220" customWidth="1"/>
    <col min="5644" max="5644" width="11.44140625" style="220" customWidth="1"/>
    <col min="5645" max="5645" width="14" style="220" customWidth="1"/>
    <col min="5646" max="5889" width="11.44140625" style="220"/>
    <col min="5890" max="5890" width="11.44140625" style="220" hidden="1" customWidth="1"/>
    <col min="5891" max="5891" width="32.109375" style="220" customWidth="1"/>
    <col min="5892" max="5892" width="57.109375" style="220" customWidth="1"/>
    <col min="5893" max="5893" width="5.109375" style="220" customWidth="1"/>
    <col min="5894" max="5894" width="13" style="220" customWidth="1"/>
    <col min="5895" max="5895" width="20.88671875" style="220" customWidth="1"/>
    <col min="5896" max="5896" width="12.5546875" style="220" customWidth="1"/>
    <col min="5897" max="5897" width="16.6640625" style="220" customWidth="1"/>
    <col min="5898" max="5898" width="21.44140625" style="220" customWidth="1"/>
    <col min="5899" max="5899" width="14.88671875" style="220" customWidth="1"/>
    <col min="5900" max="5900" width="11.44140625" style="220" customWidth="1"/>
    <col min="5901" max="5901" width="14" style="220" customWidth="1"/>
    <col min="5902" max="6145" width="11.44140625" style="220"/>
    <col min="6146" max="6146" width="11.44140625" style="220" hidden="1" customWidth="1"/>
    <col min="6147" max="6147" width="32.109375" style="220" customWidth="1"/>
    <col min="6148" max="6148" width="57.109375" style="220" customWidth="1"/>
    <col min="6149" max="6149" width="5.109375" style="220" customWidth="1"/>
    <col min="6150" max="6150" width="13" style="220" customWidth="1"/>
    <col min="6151" max="6151" width="20.88671875" style="220" customWidth="1"/>
    <col min="6152" max="6152" width="12.5546875" style="220" customWidth="1"/>
    <col min="6153" max="6153" width="16.6640625" style="220" customWidth="1"/>
    <col min="6154" max="6154" width="21.44140625" style="220" customWidth="1"/>
    <col min="6155" max="6155" width="14.88671875" style="220" customWidth="1"/>
    <col min="6156" max="6156" width="11.44140625" style="220" customWidth="1"/>
    <col min="6157" max="6157" width="14" style="220" customWidth="1"/>
    <col min="6158" max="6401" width="11.44140625" style="220"/>
    <col min="6402" max="6402" width="11.44140625" style="220" hidden="1" customWidth="1"/>
    <col min="6403" max="6403" width="32.109375" style="220" customWidth="1"/>
    <col min="6404" max="6404" width="57.109375" style="220" customWidth="1"/>
    <col min="6405" max="6405" width="5.109375" style="220" customWidth="1"/>
    <col min="6406" max="6406" width="13" style="220" customWidth="1"/>
    <col min="6407" max="6407" width="20.88671875" style="220" customWidth="1"/>
    <col min="6408" max="6408" width="12.5546875" style="220" customWidth="1"/>
    <col min="6409" max="6409" width="16.6640625" style="220" customWidth="1"/>
    <col min="6410" max="6410" width="21.44140625" style="220" customWidth="1"/>
    <col min="6411" max="6411" width="14.88671875" style="220" customWidth="1"/>
    <col min="6412" max="6412" width="11.44140625" style="220" customWidth="1"/>
    <col min="6413" max="6413" width="14" style="220" customWidth="1"/>
    <col min="6414" max="6657" width="11.44140625" style="220"/>
    <col min="6658" max="6658" width="11.44140625" style="220" hidden="1" customWidth="1"/>
    <col min="6659" max="6659" width="32.109375" style="220" customWidth="1"/>
    <col min="6660" max="6660" width="57.109375" style="220" customWidth="1"/>
    <col min="6661" max="6661" width="5.109375" style="220" customWidth="1"/>
    <col min="6662" max="6662" width="13" style="220" customWidth="1"/>
    <col min="6663" max="6663" width="20.88671875" style="220" customWidth="1"/>
    <col min="6664" max="6664" width="12.5546875" style="220" customWidth="1"/>
    <col min="6665" max="6665" width="16.6640625" style="220" customWidth="1"/>
    <col min="6666" max="6666" width="21.44140625" style="220" customWidth="1"/>
    <col min="6667" max="6667" width="14.88671875" style="220" customWidth="1"/>
    <col min="6668" max="6668" width="11.44140625" style="220" customWidth="1"/>
    <col min="6669" max="6669" width="14" style="220" customWidth="1"/>
    <col min="6670" max="6913" width="11.44140625" style="220"/>
    <col min="6914" max="6914" width="11.44140625" style="220" hidden="1" customWidth="1"/>
    <col min="6915" max="6915" width="32.109375" style="220" customWidth="1"/>
    <col min="6916" max="6916" width="57.109375" style="220" customWidth="1"/>
    <col min="6917" max="6917" width="5.109375" style="220" customWidth="1"/>
    <col min="6918" max="6918" width="13" style="220" customWidth="1"/>
    <col min="6919" max="6919" width="20.88671875" style="220" customWidth="1"/>
    <col min="6920" max="6920" width="12.5546875" style="220" customWidth="1"/>
    <col min="6921" max="6921" width="16.6640625" style="220" customWidth="1"/>
    <col min="6922" max="6922" width="21.44140625" style="220" customWidth="1"/>
    <col min="6923" max="6923" width="14.88671875" style="220" customWidth="1"/>
    <col min="6924" max="6924" width="11.44140625" style="220" customWidth="1"/>
    <col min="6925" max="6925" width="14" style="220" customWidth="1"/>
    <col min="6926" max="7169" width="11.44140625" style="220"/>
    <col min="7170" max="7170" width="11.44140625" style="220" hidden="1" customWidth="1"/>
    <col min="7171" max="7171" width="32.109375" style="220" customWidth="1"/>
    <col min="7172" max="7172" width="57.109375" style="220" customWidth="1"/>
    <col min="7173" max="7173" width="5.109375" style="220" customWidth="1"/>
    <col min="7174" max="7174" width="13" style="220" customWidth="1"/>
    <col min="7175" max="7175" width="20.88671875" style="220" customWidth="1"/>
    <col min="7176" max="7176" width="12.5546875" style="220" customWidth="1"/>
    <col min="7177" max="7177" width="16.6640625" style="220" customWidth="1"/>
    <col min="7178" max="7178" width="21.44140625" style="220" customWidth="1"/>
    <col min="7179" max="7179" width="14.88671875" style="220" customWidth="1"/>
    <col min="7180" max="7180" width="11.44140625" style="220" customWidth="1"/>
    <col min="7181" max="7181" width="14" style="220" customWidth="1"/>
    <col min="7182" max="7425" width="11.44140625" style="220"/>
    <col min="7426" max="7426" width="11.44140625" style="220" hidden="1" customWidth="1"/>
    <col min="7427" max="7427" width="32.109375" style="220" customWidth="1"/>
    <col min="7428" max="7428" width="57.109375" style="220" customWidth="1"/>
    <col min="7429" max="7429" width="5.109375" style="220" customWidth="1"/>
    <col min="7430" max="7430" width="13" style="220" customWidth="1"/>
    <col min="7431" max="7431" width="20.88671875" style="220" customWidth="1"/>
    <col min="7432" max="7432" width="12.5546875" style="220" customWidth="1"/>
    <col min="7433" max="7433" width="16.6640625" style="220" customWidth="1"/>
    <col min="7434" max="7434" width="21.44140625" style="220" customWidth="1"/>
    <col min="7435" max="7435" width="14.88671875" style="220" customWidth="1"/>
    <col min="7436" max="7436" width="11.44140625" style="220" customWidth="1"/>
    <col min="7437" max="7437" width="14" style="220" customWidth="1"/>
    <col min="7438" max="7681" width="11.44140625" style="220"/>
    <col min="7682" max="7682" width="11.44140625" style="220" hidden="1" customWidth="1"/>
    <col min="7683" max="7683" width="32.109375" style="220" customWidth="1"/>
    <col min="7684" max="7684" width="57.109375" style="220" customWidth="1"/>
    <col min="7685" max="7685" width="5.109375" style="220" customWidth="1"/>
    <col min="7686" max="7686" width="13" style="220" customWidth="1"/>
    <col min="7687" max="7687" width="20.88671875" style="220" customWidth="1"/>
    <col min="7688" max="7688" width="12.5546875" style="220" customWidth="1"/>
    <col min="7689" max="7689" width="16.6640625" style="220" customWidth="1"/>
    <col min="7690" max="7690" width="21.44140625" style="220" customWidth="1"/>
    <col min="7691" max="7691" width="14.88671875" style="220" customWidth="1"/>
    <col min="7692" max="7692" width="11.44140625" style="220" customWidth="1"/>
    <col min="7693" max="7693" width="14" style="220" customWidth="1"/>
    <col min="7694" max="7937" width="11.44140625" style="220"/>
    <col min="7938" max="7938" width="11.44140625" style="220" hidden="1" customWidth="1"/>
    <col min="7939" max="7939" width="32.109375" style="220" customWidth="1"/>
    <col min="7940" max="7940" width="57.109375" style="220" customWidth="1"/>
    <col min="7941" max="7941" width="5.109375" style="220" customWidth="1"/>
    <col min="7942" max="7942" width="13" style="220" customWidth="1"/>
    <col min="7943" max="7943" width="20.88671875" style="220" customWidth="1"/>
    <col min="7944" max="7944" width="12.5546875" style="220" customWidth="1"/>
    <col min="7945" max="7945" width="16.6640625" style="220" customWidth="1"/>
    <col min="7946" max="7946" width="21.44140625" style="220" customWidth="1"/>
    <col min="7947" max="7947" width="14.88671875" style="220" customWidth="1"/>
    <col min="7948" max="7948" width="11.44140625" style="220" customWidth="1"/>
    <col min="7949" max="7949" width="14" style="220" customWidth="1"/>
    <col min="7950" max="8193" width="11.44140625" style="220"/>
    <col min="8194" max="8194" width="11.44140625" style="220" hidden="1" customWidth="1"/>
    <col min="8195" max="8195" width="32.109375" style="220" customWidth="1"/>
    <col min="8196" max="8196" width="57.109375" style="220" customWidth="1"/>
    <col min="8197" max="8197" width="5.109375" style="220" customWidth="1"/>
    <col min="8198" max="8198" width="13" style="220" customWidth="1"/>
    <col min="8199" max="8199" width="20.88671875" style="220" customWidth="1"/>
    <col min="8200" max="8200" width="12.5546875" style="220" customWidth="1"/>
    <col min="8201" max="8201" width="16.6640625" style="220" customWidth="1"/>
    <col min="8202" max="8202" width="21.44140625" style="220" customWidth="1"/>
    <col min="8203" max="8203" width="14.88671875" style="220" customWidth="1"/>
    <col min="8204" max="8204" width="11.44140625" style="220" customWidth="1"/>
    <col min="8205" max="8205" width="14" style="220" customWidth="1"/>
    <col min="8206" max="8449" width="11.44140625" style="220"/>
    <col min="8450" max="8450" width="11.44140625" style="220" hidden="1" customWidth="1"/>
    <col min="8451" max="8451" width="32.109375" style="220" customWidth="1"/>
    <col min="8452" max="8452" width="57.109375" style="220" customWidth="1"/>
    <col min="8453" max="8453" width="5.109375" style="220" customWidth="1"/>
    <col min="8454" max="8454" width="13" style="220" customWidth="1"/>
    <col min="8455" max="8455" width="20.88671875" style="220" customWidth="1"/>
    <col min="8456" max="8456" width="12.5546875" style="220" customWidth="1"/>
    <col min="8457" max="8457" width="16.6640625" style="220" customWidth="1"/>
    <col min="8458" max="8458" width="21.44140625" style="220" customWidth="1"/>
    <col min="8459" max="8459" width="14.88671875" style="220" customWidth="1"/>
    <col min="8460" max="8460" width="11.44140625" style="220" customWidth="1"/>
    <col min="8461" max="8461" width="14" style="220" customWidth="1"/>
    <col min="8462" max="8705" width="11.44140625" style="220"/>
    <col min="8706" max="8706" width="11.44140625" style="220" hidden="1" customWidth="1"/>
    <col min="8707" max="8707" width="32.109375" style="220" customWidth="1"/>
    <col min="8708" max="8708" width="57.109375" style="220" customWidth="1"/>
    <col min="8709" max="8709" width="5.109375" style="220" customWidth="1"/>
    <col min="8710" max="8710" width="13" style="220" customWidth="1"/>
    <col min="8711" max="8711" width="20.88671875" style="220" customWidth="1"/>
    <col min="8712" max="8712" width="12.5546875" style="220" customWidth="1"/>
    <col min="8713" max="8713" width="16.6640625" style="220" customWidth="1"/>
    <col min="8714" max="8714" width="21.44140625" style="220" customWidth="1"/>
    <col min="8715" max="8715" width="14.88671875" style="220" customWidth="1"/>
    <col min="8716" max="8716" width="11.44140625" style="220" customWidth="1"/>
    <col min="8717" max="8717" width="14" style="220" customWidth="1"/>
    <col min="8718" max="8961" width="11.44140625" style="220"/>
    <col min="8962" max="8962" width="11.44140625" style="220" hidden="1" customWidth="1"/>
    <col min="8963" max="8963" width="32.109375" style="220" customWidth="1"/>
    <col min="8964" max="8964" width="57.109375" style="220" customWidth="1"/>
    <col min="8965" max="8965" width="5.109375" style="220" customWidth="1"/>
    <col min="8966" max="8966" width="13" style="220" customWidth="1"/>
    <col min="8967" max="8967" width="20.88671875" style="220" customWidth="1"/>
    <col min="8968" max="8968" width="12.5546875" style="220" customWidth="1"/>
    <col min="8969" max="8969" width="16.6640625" style="220" customWidth="1"/>
    <col min="8970" max="8970" width="21.44140625" style="220" customWidth="1"/>
    <col min="8971" max="8971" width="14.88671875" style="220" customWidth="1"/>
    <col min="8972" max="8972" width="11.44140625" style="220" customWidth="1"/>
    <col min="8973" max="8973" width="14" style="220" customWidth="1"/>
    <col min="8974" max="9217" width="11.44140625" style="220"/>
    <col min="9218" max="9218" width="11.44140625" style="220" hidden="1" customWidth="1"/>
    <col min="9219" max="9219" width="32.109375" style="220" customWidth="1"/>
    <col min="9220" max="9220" width="57.109375" style="220" customWidth="1"/>
    <col min="9221" max="9221" width="5.109375" style="220" customWidth="1"/>
    <col min="9222" max="9222" width="13" style="220" customWidth="1"/>
    <col min="9223" max="9223" width="20.88671875" style="220" customWidth="1"/>
    <col min="9224" max="9224" width="12.5546875" style="220" customWidth="1"/>
    <col min="9225" max="9225" width="16.6640625" style="220" customWidth="1"/>
    <col min="9226" max="9226" width="21.44140625" style="220" customWidth="1"/>
    <col min="9227" max="9227" width="14.88671875" style="220" customWidth="1"/>
    <col min="9228" max="9228" width="11.44140625" style="220" customWidth="1"/>
    <col min="9229" max="9229" width="14" style="220" customWidth="1"/>
    <col min="9230" max="9473" width="11.44140625" style="220"/>
    <col min="9474" max="9474" width="11.44140625" style="220" hidden="1" customWidth="1"/>
    <col min="9475" max="9475" width="32.109375" style="220" customWidth="1"/>
    <col min="9476" max="9476" width="57.109375" style="220" customWidth="1"/>
    <col min="9477" max="9477" width="5.109375" style="220" customWidth="1"/>
    <col min="9478" max="9478" width="13" style="220" customWidth="1"/>
    <col min="9479" max="9479" width="20.88671875" style="220" customWidth="1"/>
    <col min="9480" max="9480" width="12.5546875" style="220" customWidth="1"/>
    <col min="9481" max="9481" width="16.6640625" style="220" customWidth="1"/>
    <col min="9482" max="9482" width="21.44140625" style="220" customWidth="1"/>
    <col min="9483" max="9483" width="14.88671875" style="220" customWidth="1"/>
    <col min="9484" max="9484" width="11.44140625" style="220" customWidth="1"/>
    <col min="9485" max="9485" width="14" style="220" customWidth="1"/>
    <col min="9486" max="9729" width="11.44140625" style="220"/>
    <col min="9730" max="9730" width="11.44140625" style="220" hidden="1" customWidth="1"/>
    <col min="9731" max="9731" width="32.109375" style="220" customWidth="1"/>
    <col min="9732" max="9732" width="57.109375" style="220" customWidth="1"/>
    <col min="9733" max="9733" width="5.109375" style="220" customWidth="1"/>
    <col min="9734" max="9734" width="13" style="220" customWidth="1"/>
    <col min="9735" max="9735" width="20.88671875" style="220" customWidth="1"/>
    <col min="9736" max="9736" width="12.5546875" style="220" customWidth="1"/>
    <col min="9737" max="9737" width="16.6640625" style="220" customWidth="1"/>
    <col min="9738" max="9738" width="21.44140625" style="220" customWidth="1"/>
    <col min="9739" max="9739" width="14.88671875" style="220" customWidth="1"/>
    <col min="9740" max="9740" width="11.44140625" style="220" customWidth="1"/>
    <col min="9741" max="9741" width="14" style="220" customWidth="1"/>
    <col min="9742" max="9985" width="11.44140625" style="220"/>
    <col min="9986" max="9986" width="11.44140625" style="220" hidden="1" customWidth="1"/>
    <col min="9987" max="9987" width="32.109375" style="220" customWidth="1"/>
    <col min="9988" max="9988" width="57.109375" style="220" customWidth="1"/>
    <col min="9989" max="9989" width="5.109375" style="220" customWidth="1"/>
    <col min="9990" max="9990" width="13" style="220" customWidth="1"/>
    <col min="9991" max="9991" width="20.88671875" style="220" customWidth="1"/>
    <col min="9992" max="9992" width="12.5546875" style="220" customWidth="1"/>
    <col min="9993" max="9993" width="16.6640625" style="220" customWidth="1"/>
    <col min="9994" max="9994" width="21.44140625" style="220" customWidth="1"/>
    <col min="9995" max="9995" width="14.88671875" style="220" customWidth="1"/>
    <col min="9996" max="9996" width="11.44140625" style="220" customWidth="1"/>
    <col min="9997" max="9997" width="14" style="220" customWidth="1"/>
    <col min="9998" max="10241" width="11.44140625" style="220"/>
    <col min="10242" max="10242" width="11.44140625" style="220" hidden="1" customWidth="1"/>
    <col min="10243" max="10243" width="32.109375" style="220" customWidth="1"/>
    <col min="10244" max="10244" width="57.109375" style="220" customWidth="1"/>
    <col min="10245" max="10245" width="5.109375" style="220" customWidth="1"/>
    <col min="10246" max="10246" width="13" style="220" customWidth="1"/>
    <col min="10247" max="10247" width="20.88671875" style="220" customWidth="1"/>
    <col min="10248" max="10248" width="12.5546875" style="220" customWidth="1"/>
    <col min="10249" max="10249" width="16.6640625" style="220" customWidth="1"/>
    <col min="10250" max="10250" width="21.44140625" style="220" customWidth="1"/>
    <col min="10251" max="10251" width="14.88671875" style="220" customWidth="1"/>
    <col min="10252" max="10252" width="11.44140625" style="220" customWidth="1"/>
    <col min="10253" max="10253" width="14" style="220" customWidth="1"/>
    <col min="10254" max="10497" width="11.44140625" style="220"/>
    <col min="10498" max="10498" width="11.44140625" style="220" hidden="1" customWidth="1"/>
    <col min="10499" max="10499" width="32.109375" style="220" customWidth="1"/>
    <col min="10500" max="10500" width="57.109375" style="220" customWidth="1"/>
    <col min="10501" max="10501" width="5.109375" style="220" customWidth="1"/>
    <col min="10502" max="10502" width="13" style="220" customWidth="1"/>
    <col min="10503" max="10503" width="20.88671875" style="220" customWidth="1"/>
    <col min="10504" max="10504" width="12.5546875" style="220" customWidth="1"/>
    <col min="10505" max="10505" width="16.6640625" style="220" customWidth="1"/>
    <col min="10506" max="10506" width="21.44140625" style="220" customWidth="1"/>
    <col min="10507" max="10507" width="14.88671875" style="220" customWidth="1"/>
    <col min="10508" max="10508" width="11.44140625" style="220" customWidth="1"/>
    <col min="10509" max="10509" width="14" style="220" customWidth="1"/>
    <col min="10510" max="10753" width="11.44140625" style="220"/>
    <col min="10754" max="10754" width="11.44140625" style="220" hidden="1" customWidth="1"/>
    <col min="10755" max="10755" width="32.109375" style="220" customWidth="1"/>
    <col min="10756" max="10756" width="57.109375" style="220" customWidth="1"/>
    <col min="10757" max="10757" width="5.109375" style="220" customWidth="1"/>
    <col min="10758" max="10758" width="13" style="220" customWidth="1"/>
    <col min="10759" max="10759" width="20.88671875" style="220" customWidth="1"/>
    <col min="10760" max="10760" width="12.5546875" style="220" customWidth="1"/>
    <col min="10761" max="10761" width="16.6640625" style="220" customWidth="1"/>
    <col min="10762" max="10762" width="21.44140625" style="220" customWidth="1"/>
    <col min="10763" max="10763" width="14.88671875" style="220" customWidth="1"/>
    <col min="10764" max="10764" width="11.44140625" style="220" customWidth="1"/>
    <col min="10765" max="10765" width="14" style="220" customWidth="1"/>
    <col min="10766" max="11009" width="11.44140625" style="220"/>
    <col min="11010" max="11010" width="11.44140625" style="220" hidden="1" customWidth="1"/>
    <col min="11011" max="11011" width="32.109375" style="220" customWidth="1"/>
    <col min="11012" max="11012" width="57.109375" style="220" customWidth="1"/>
    <col min="11013" max="11013" width="5.109375" style="220" customWidth="1"/>
    <col min="11014" max="11014" width="13" style="220" customWidth="1"/>
    <col min="11015" max="11015" width="20.88671875" style="220" customWidth="1"/>
    <col min="11016" max="11016" width="12.5546875" style="220" customWidth="1"/>
    <col min="11017" max="11017" width="16.6640625" style="220" customWidth="1"/>
    <col min="11018" max="11018" width="21.44140625" style="220" customWidth="1"/>
    <col min="11019" max="11019" width="14.88671875" style="220" customWidth="1"/>
    <col min="11020" max="11020" width="11.44140625" style="220" customWidth="1"/>
    <col min="11021" max="11021" width="14" style="220" customWidth="1"/>
    <col min="11022" max="11265" width="11.44140625" style="220"/>
    <col min="11266" max="11266" width="11.44140625" style="220" hidden="1" customWidth="1"/>
    <col min="11267" max="11267" width="32.109375" style="220" customWidth="1"/>
    <col min="11268" max="11268" width="57.109375" style="220" customWidth="1"/>
    <col min="11269" max="11269" width="5.109375" style="220" customWidth="1"/>
    <col min="11270" max="11270" width="13" style="220" customWidth="1"/>
    <col min="11271" max="11271" width="20.88671875" style="220" customWidth="1"/>
    <col min="11272" max="11272" width="12.5546875" style="220" customWidth="1"/>
    <col min="11273" max="11273" width="16.6640625" style="220" customWidth="1"/>
    <col min="11274" max="11274" width="21.44140625" style="220" customWidth="1"/>
    <col min="11275" max="11275" width="14.88671875" style="220" customWidth="1"/>
    <col min="11276" max="11276" width="11.44140625" style="220" customWidth="1"/>
    <col min="11277" max="11277" width="14" style="220" customWidth="1"/>
    <col min="11278" max="11521" width="11.44140625" style="220"/>
    <col min="11522" max="11522" width="11.44140625" style="220" hidden="1" customWidth="1"/>
    <col min="11523" max="11523" width="32.109375" style="220" customWidth="1"/>
    <col min="11524" max="11524" width="57.109375" style="220" customWidth="1"/>
    <col min="11525" max="11525" width="5.109375" style="220" customWidth="1"/>
    <col min="11526" max="11526" width="13" style="220" customWidth="1"/>
    <col min="11527" max="11527" width="20.88671875" style="220" customWidth="1"/>
    <col min="11528" max="11528" width="12.5546875" style="220" customWidth="1"/>
    <col min="11529" max="11529" width="16.6640625" style="220" customWidth="1"/>
    <col min="11530" max="11530" width="21.44140625" style="220" customWidth="1"/>
    <col min="11531" max="11531" width="14.88671875" style="220" customWidth="1"/>
    <col min="11532" max="11532" width="11.44140625" style="220" customWidth="1"/>
    <col min="11533" max="11533" width="14" style="220" customWidth="1"/>
    <col min="11534" max="11777" width="11.44140625" style="220"/>
    <col min="11778" max="11778" width="11.44140625" style="220" hidden="1" customWidth="1"/>
    <col min="11779" max="11779" width="32.109375" style="220" customWidth="1"/>
    <col min="11780" max="11780" width="57.109375" style="220" customWidth="1"/>
    <col min="11781" max="11781" width="5.109375" style="220" customWidth="1"/>
    <col min="11782" max="11782" width="13" style="220" customWidth="1"/>
    <col min="11783" max="11783" width="20.88671875" style="220" customWidth="1"/>
    <col min="11784" max="11784" width="12.5546875" style="220" customWidth="1"/>
    <col min="11785" max="11785" width="16.6640625" style="220" customWidth="1"/>
    <col min="11786" max="11786" width="21.44140625" style="220" customWidth="1"/>
    <col min="11787" max="11787" width="14.88671875" style="220" customWidth="1"/>
    <col min="11788" max="11788" width="11.44140625" style="220" customWidth="1"/>
    <col min="11789" max="11789" width="14" style="220" customWidth="1"/>
    <col min="11790" max="12033" width="11.44140625" style="220"/>
    <col min="12034" max="12034" width="11.44140625" style="220" hidden="1" customWidth="1"/>
    <col min="12035" max="12035" width="32.109375" style="220" customWidth="1"/>
    <col min="12036" max="12036" width="57.109375" style="220" customWidth="1"/>
    <col min="12037" max="12037" width="5.109375" style="220" customWidth="1"/>
    <col min="12038" max="12038" width="13" style="220" customWidth="1"/>
    <col min="12039" max="12039" width="20.88671875" style="220" customWidth="1"/>
    <col min="12040" max="12040" width="12.5546875" style="220" customWidth="1"/>
    <col min="12041" max="12041" width="16.6640625" style="220" customWidth="1"/>
    <col min="12042" max="12042" width="21.44140625" style="220" customWidth="1"/>
    <col min="12043" max="12043" width="14.88671875" style="220" customWidth="1"/>
    <col min="12044" max="12044" width="11.44140625" style="220" customWidth="1"/>
    <col min="12045" max="12045" width="14" style="220" customWidth="1"/>
    <col min="12046" max="12289" width="11.44140625" style="220"/>
    <col min="12290" max="12290" width="11.44140625" style="220" hidden="1" customWidth="1"/>
    <col min="12291" max="12291" width="32.109375" style="220" customWidth="1"/>
    <col min="12292" max="12292" width="57.109375" style="220" customWidth="1"/>
    <col min="12293" max="12293" width="5.109375" style="220" customWidth="1"/>
    <col min="12294" max="12294" width="13" style="220" customWidth="1"/>
    <col min="12295" max="12295" width="20.88671875" style="220" customWidth="1"/>
    <col min="12296" max="12296" width="12.5546875" style="220" customWidth="1"/>
    <col min="12297" max="12297" width="16.6640625" style="220" customWidth="1"/>
    <col min="12298" max="12298" width="21.44140625" style="220" customWidth="1"/>
    <col min="12299" max="12299" width="14.88671875" style="220" customWidth="1"/>
    <col min="12300" max="12300" width="11.44140625" style="220" customWidth="1"/>
    <col min="12301" max="12301" width="14" style="220" customWidth="1"/>
    <col min="12302" max="12545" width="11.44140625" style="220"/>
    <col min="12546" max="12546" width="11.44140625" style="220" hidden="1" customWidth="1"/>
    <col min="12547" max="12547" width="32.109375" style="220" customWidth="1"/>
    <col min="12548" max="12548" width="57.109375" style="220" customWidth="1"/>
    <col min="12549" max="12549" width="5.109375" style="220" customWidth="1"/>
    <col min="12550" max="12550" width="13" style="220" customWidth="1"/>
    <col min="12551" max="12551" width="20.88671875" style="220" customWidth="1"/>
    <col min="12552" max="12552" width="12.5546875" style="220" customWidth="1"/>
    <col min="12553" max="12553" width="16.6640625" style="220" customWidth="1"/>
    <col min="12554" max="12554" width="21.44140625" style="220" customWidth="1"/>
    <col min="12555" max="12555" width="14.88671875" style="220" customWidth="1"/>
    <col min="12556" max="12556" width="11.44140625" style="220" customWidth="1"/>
    <col min="12557" max="12557" width="14" style="220" customWidth="1"/>
    <col min="12558" max="12801" width="11.44140625" style="220"/>
    <col min="12802" max="12802" width="11.44140625" style="220" hidden="1" customWidth="1"/>
    <col min="12803" max="12803" width="32.109375" style="220" customWidth="1"/>
    <col min="12804" max="12804" width="57.109375" style="220" customWidth="1"/>
    <col min="12805" max="12805" width="5.109375" style="220" customWidth="1"/>
    <col min="12806" max="12806" width="13" style="220" customWidth="1"/>
    <col min="12807" max="12807" width="20.88671875" style="220" customWidth="1"/>
    <col min="12808" max="12808" width="12.5546875" style="220" customWidth="1"/>
    <col min="12809" max="12809" width="16.6640625" style="220" customWidth="1"/>
    <col min="12810" max="12810" width="21.44140625" style="220" customWidth="1"/>
    <col min="12811" max="12811" width="14.88671875" style="220" customWidth="1"/>
    <col min="12812" max="12812" width="11.44140625" style="220" customWidth="1"/>
    <col min="12813" max="12813" width="14" style="220" customWidth="1"/>
    <col min="12814" max="13057" width="11.44140625" style="220"/>
    <col min="13058" max="13058" width="11.44140625" style="220" hidden="1" customWidth="1"/>
    <col min="13059" max="13059" width="32.109375" style="220" customWidth="1"/>
    <col min="13060" max="13060" width="57.109375" style="220" customWidth="1"/>
    <col min="13061" max="13061" width="5.109375" style="220" customWidth="1"/>
    <col min="13062" max="13062" width="13" style="220" customWidth="1"/>
    <col min="13063" max="13063" width="20.88671875" style="220" customWidth="1"/>
    <col min="13064" max="13064" width="12.5546875" style="220" customWidth="1"/>
    <col min="13065" max="13065" width="16.6640625" style="220" customWidth="1"/>
    <col min="13066" max="13066" width="21.44140625" style="220" customWidth="1"/>
    <col min="13067" max="13067" width="14.88671875" style="220" customWidth="1"/>
    <col min="13068" max="13068" width="11.44140625" style="220" customWidth="1"/>
    <col min="13069" max="13069" width="14" style="220" customWidth="1"/>
    <col min="13070" max="13313" width="11.44140625" style="220"/>
    <col min="13314" max="13314" width="11.44140625" style="220" hidden="1" customWidth="1"/>
    <col min="13315" max="13315" width="32.109375" style="220" customWidth="1"/>
    <col min="13316" max="13316" width="57.109375" style="220" customWidth="1"/>
    <col min="13317" max="13317" width="5.109375" style="220" customWidth="1"/>
    <col min="13318" max="13318" width="13" style="220" customWidth="1"/>
    <col min="13319" max="13319" width="20.88671875" style="220" customWidth="1"/>
    <col min="13320" max="13320" width="12.5546875" style="220" customWidth="1"/>
    <col min="13321" max="13321" width="16.6640625" style="220" customWidth="1"/>
    <col min="13322" max="13322" width="21.44140625" style="220" customWidth="1"/>
    <col min="13323" max="13323" width="14.88671875" style="220" customWidth="1"/>
    <col min="13324" max="13324" width="11.44140625" style="220" customWidth="1"/>
    <col min="13325" max="13325" width="14" style="220" customWidth="1"/>
    <col min="13326" max="13569" width="11.44140625" style="220"/>
    <col min="13570" max="13570" width="11.44140625" style="220" hidden="1" customWidth="1"/>
    <col min="13571" max="13571" width="32.109375" style="220" customWidth="1"/>
    <col min="13572" max="13572" width="57.109375" style="220" customWidth="1"/>
    <col min="13573" max="13573" width="5.109375" style="220" customWidth="1"/>
    <col min="13574" max="13574" width="13" style="220" customWidth="1"/>
    <col min="13575" max="13575" width="20.88671875" style="220" customWidth="1"/>
    <col min="13576" max="13576" width="12.5546875" style="220" customWidth="1"/>
    <col min="13577" max="13577" width="16.6640625" style="220" customWidth="1"/>
    <col min="13578" max="13578" width="21.44140625" style="220" customWidth="1"/>
    <col min="13579" max="13579" width="14.88671875" style="220" customWidth="1"/>
    <col min="13580" max="13580" width="11.44140625" style="220" customWidth="1"/>
    <col min="13581" max="13581" width="14" style="220" customWidth="1"/>
    <col min="13582" max="13825" width="11.44140625" style="220"/>
    <col min="13826" max="13826" width="11.44140625" style="220" hidden="1" customWidth="1"/>
    <col min="13827" max="13827" width="32.109375" style="220" customWidth="1"/>
    <col min="13828" max="13828" width="57.109375" style="220" customWidth="1"/>
    <col min="13829" max="13829" width="5.109375" style="220" customWidth="1"/>
    <col min="13830" max="13830" width="13" style="220" customWidth="1"/>
    <col min="13831" max="13831" width="20.88671875" style="220" customWidth="1"/>
    <col min="13832" max="13832" width="12.5546875" style="220" customWidth="1"/>
    <col min="13833" max="13833" width="16.6640625" style="220" customWidth="1"/>
    <col min="13834" max="13834" width="21.44140625" style="220" customWidth="1"/>
    <col min="13835" max="13835" width="14.88671875" style="220" customWidth="1"/>
    <col min="13836" max="13836" width="11.44140625" style="220" customWidth="1"/>
    <col min="13837" max="13837" width="14" style="220" customWidth="1"/>
    <col min="13838" max="14081" width="11.44140625" style="220"/>
    <col min="14082" max="14082" width="11.44140625" style="220" hidden="1" customWidth="1"/>
    <col min="14083" max="14083" width="32.109375" style="220" customWidth="1"/>
    <col min="14084" max="14084" width="57.109375" style="220" customWidth="1"/>
    <col min="14085" max="14085" width="5.109375" style="220" customWidth="1"/>
    <col min="14086" max="14086" width="13" style="220" customWidth="1"/>
    <col min="14087" max="14087" width="20.88671875" style="220" customWidth="1"/>
    <col min="14088" max="14088" width="12.5546875" style="220" customWidth="1"/>
    <col min="14089" max="14089" width="16.6640625" style="220" customWidth="1"/>
    <col min="14090" max="14090" width="21.44140625" style="220" customWidth="1"/>
    <col min="14091" max="14091" width="14.88671875" style="220" customWidth="1"/>
    <col min="14092" max="14092" width="11.44140625" style="220" customWidth="1"/>
    <col min="14093" max="14093" width="14" style="220" customWidth="1"/>
    <col min="14094" max="14337" width="11.44140625" style="220"/>
    <col min="14338" max="14338" width="11.44140625" style="220" hidden="1" customWidth="1"/>
    <col min="14339" max="14339" width="32.109375" style="220" customWidth="1"/>
    <col min="14340" max="14340" width="57.109375" style="220" customWidth="1"/>
    <col min="14341" max="14341" width="5.109375" style="220" customWidth="1"/>
    <col min="14342" max="14342" width="13" style="220" customWidth="1"/>
    <col min="14343" max="14343" width="20.88671875" style="220" customWidth="1"/>
    <col min="14344" max="14344" width="12.5546875" style="220" customWidth="1"/>
    <col min="14345" max="14345" width="16.6640625" style="220" customWidth="1"/>
    <col min="14346" max="14346" width="21.44140625" style="220" customWidth="1"/>
    <col min="14347" max="14347" width="14.88671875" style="220" customWidth="1"/>
    <col min="14348" max="14348" width="11.44140625" style="220" customWidth="1"/>
    <col min="14349" max="14349" width="14" style="220" customWidth="1"/>
    <col min="14350" max="14593" width="11.44140625" style="220"/>
    <col min="14594" max="14594" width="11.44140625" style="220" hidden="1" customWidth="1"/>
    <col min="14595" max="14595" width="32.109375" style="220" customWidth="1"/>
    <col min="14596" max="14596" width="57.109375" style="220" customWidth="1"/>
    <col min="14597" max="14597" width="5.109375" style="220" customWidth="1"/>
    <col min="14598" max="14598" width="13" style="220" customWidth="1"/>
    <col min="14599" max="14599" width="20.88671875" style="220" customWidth="1"/>
    <col min="14600" max="14600" width="12.5546875" style="220" customWidth="1"/>
    <col min="14601" max="14601" width="16.6640625" style="220" customWidth="1"/>
    <col min="14602" max="14602" width="21.44140625" style="220" customWidth="1"/>
    <col min="14603" max="14603" width="14.88671875" style="220" customWidth="1"/>
    <col min="14604" max="14604" width="11.44140625" style="220" customWidth="1"/>
    <col min="14605" max="14605" width="14" style="220" customWidth="1"/>
    <col min="14606" max="14849" width="11.44140625" style="220"/>
    <col min="14850" max="14850" width="11.44140625" style="220" hidden="1" customWidth="1"/>
    <col min="14851" max="14851" width="32.109375" style="220" customWidth="1"/>
    <col min="14852" max="14852" width="57.109375" style="220" customWidth="1"/>
    <col min="14853" max="14853" width="5.109375" style="220" customWidth="1"/>
    <col min="14854" max="14854" width="13" style="220" customWidth="1"/>
    <col min="14855" max="14855" width="20.88671875" style="220" customWidth="1"/>
    <col min="14856" max="14856" width="12.5546875" style="220" customWidth="1"/>
    <col min="14857" max="14857" width="16.6640625" style="220" customWidth="1"/>
    <col min="14858" max="14858" width="21.44140625" style="220" customWidth="1"/>
    <col min="14859" max="14859" width="14.88671875" style="220" customWidth="1"/>
    <col min="14860" max="14860" width="11.44140625" style="220" customWidth="1"/>
    <col min="14861" max="14861" width="14" style="220" customWidth="1"/>
    <col min="14862" max="15105" width="11.44140625" style="220"/>
    <col min="15106" max="15106" width="11.44140625" style="220" hidden="1" customWidth="1"/>
    <col min="15107" max="15107" width="32.109375" style="220" customWidth="1"/>
    <col min="15108" max="15108" width="57.109375" style="220" customWidth="1"/>
    <col min="15109" max="15109" width="5.109375" style="220" customWidth="1"/>
    <col min="15110" max="15110" width="13" style="220" customWidth="1"/>
    <col min="15111" max="15111" width="20.88671875" style="220" customWidth="1"/>
    <col min="15112" max="15112" width="12.5546875" style="220" customWidth="1"/>
    <col min="15113" max="15113" width="16.6640625" style="220" customWidth="1"/>
    <col min="15114" max="15114" width="21.44140625" style="220" customWidth="1"/>
    <col min="15115" max="15115" width="14.88671875" style="220" customWidth="1"/>
    <col min="15116" max="15116" width="11.44140625" style="220" customWidth="1"/>
    <col min="15117" max="15117" width="14" style="220" customWidth="1"/>
    <col min="15118" max="15361" width="11.44140625" style="220"/>
    <col min="15362" max="15362" width="11.44140625" style="220" hidden="1" customWidth="1"/>
    <col min="15363" max="15363" width="32.109375" style="220" customWidth="1"/>
    <col min="15364" max="15364" width="57.109375" style="220" customWidth="1"/>
    <col min="15365" max="15365" width="5.109375" style="220" customWidth="1"/>
    <col min="15366" max="15366" width="13" style="220" customWidth="1"/>
    <col min="15367" max="15367" width="20.88671875" style="220" customWidth="1"/>
    <col min="15368" max="15368" width="12.5546875" style="220" customWidth="1"/>
    <col min="15369" max="15369" width="16.6640625" style="220" customWidth="1"/>
    <col min="15370" max="15370" width="21.44140625" style="220" customWidth="1"/>
    <col min="15371" max="15371" width="14.88671875" style="220" customWidth="1"/>
    <col min="15372" max="15372" width="11.44140625" style="220" customWidth="1"/>
    <col min="15373" max="15373" width="14" style="220" customWidth="1"/>
    <col min="15374" max="15617" width="11.44140625" style="220"/>
    <col min="15618" max="15618" width="11.44140625" style="220" hidden="1" customWidth="1"/>
    <col min="15619" max="15619" width="32.109375" style="220" customWidth="1"/>
    <col min="15620" max="15620" width="57.109375" style="220" customWidth="1"/>
    <col min="15621" max="15621" width="5.109375" style="220" customWidth="1"/>
    <col min="15622" max="15622" width="13" style="220" customWidth="1"/>
    <col min="15623" max="15623" width="20.88671875" style="220" customWidth="1"/>
    <col min="15624" max="15624" width="12.5546875" style="220" customWidth="1"/>
    <col min="15625" max="15625" width="16.6640625" style="220" customWidth="1"/>
    <col min="15626" max="15626" width="21.44140625" style="220" customWidth="1"/>
    <col min="15627" max="15627" width="14.88671875" style="220" customWidth="1"/>
    <col min="15628" max="15628" width="11.44140625" style="220" customWidth="1"/>
    <col min="15629" max="15629" width="14" style="220" customWidth="1"/>
    <col min="15630" max="15873" width="11.44140625" style="220"/>
    <col min="15874" max="15874" width="11.44140625" style="220" hidden="1" customWidth="1"/>
    <col min="15875" max="15875" width="32.109375" style="220" customWidth="1"/>
    <col min="15876" max="15876" width="57.109375" style="220" customWidth="1"/>
    <col min="15877" max="15877" width="5.109375" style="220" customWidth="1"/>
    <col min="15878" max="15878" width="13" style="220" customWidth="1"/>
    <col min="15879" max="15879" width="20.88671875" style="220" customWidth="1"/>
    <col min="15880" max="15880" width="12.5546875" style="220" customWidth="1"/>
    <col min="15881" max="15881" width="16.6640625" style="220" customWidth="1"/>
    <col min="15882" max="15882" width="21.44140625" style="220" customWidth="1"/>
    <col min="15883" max="15883" width="14.88671875" style="220" customWidth="1"/>
    <col min="15884" max="15884" width="11.44140625" style="220" customWidth="1"/>
    <col min="15885" max="15885" width="14" style="220" customWidth="1"/>
    <col min="15886" max="16129" width="11.44140625" style="220"/>
    <col min="16130" max="16130" width="11.44140625" style="220" hidden="1" customWidth="1"/>
    <col min="16131" max="16131" width="32.109375" style="220" customWidth="1"/>
    <col min="16132" max="16132" width="57.109375" style="220" customWidth="1"/>
    <col min="16133" max="16133" width="5.109375" style="220" customWidth="1"/>
    <col min="16134" max="16134" width="13" style="220" customWidth="1"/>
    <col min="16135" max="16135" width="20.88671875" style="220" customWidth="1"/>
    <col min="16136" max="16136" width="12.5546875" style="220" customWidth="1"/>
    <col min="16137" max="16137" width="16.6640625" style="220" customWidth="1"/>
    <col min="16138" max="16138" width="21.44140625" style="220" customWidth="1"/>
    <col min="16139" max="16139" width="14.88671875" style="220" customWidth="1"/>
    <col min="16140" max="16140" width="11.44140625" style="220" customWidth="1"/>
    <col min="16141" max="16141" width="14" style="220" customWidth="1"/>
    <col min="16142" max="16384" width="11.44140625" style="220"/>
  </cols>
  <sheetData>
    <row r="1" spans="1:60" s="208" customFormat="1" ht="15.6">
      <c r="A1" s="545" t="s">
        <v>2473</v>
      </c>
      <c r="B1" s="546"/>
      <c r="C1" s="546"/>
      <c r="D1" s="546"/>
      <c r="E1" s="546"/>
      <c r="F1" s="546"/>
      <c r="G1" s="546"/>
      <c r="H1" s="546"/>
      <c r="I1" s="546"/>
      <c r="J1" s="546"/>
      <c r="K1" s="54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row>
    <row r="2" spans="1:60" s="209" customFormat="1" ht="15.6">
      <c r="A2" s="11"/>
      <c r="B2" s="12"/>
      <c r="C2" s="12"/>
      <c r="D2" s="13"/>
      <c r="E2" s="13"/>
      <c r="F2" s="13"/>
      <c r="G2" s="13"/>
      <c r="H2" s="13"/>
      <c r="I2" s="13"/>
      <c r="J2" s="13"/>
      <c r="K2" s="13"/>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row>
    <row r="3" spans="1:60" s="208" customFormat="1" ht="15.6">
      <c r="A3" s="14"/>
      <c r="B3" s="255" t="str">
        <f>'[1]Memória de Cálculo'!A3</f>
        <v xml:space="preserve">OBRA: </v>
      </c>
      <c r="C3" s="258" t="s">
        <v>3717</v>
      </c>
      <c r="D3" s="256"/>
      <c r="E3" s="256"/>
      <c r="F3" s="256"/>
      <c r="G3" s="256"/>
      <c r="H3" s="256"/>
      <c r="I3" s="256"/>
      <c r="J3" s="256"/>
      <c r="K3" s="25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row>
    <row r="4" spans="1:60" s="208" customFormat="1" ht="15.6">
      <c r="A4" s="14"/>
      <c r="B4" s="259" t="str">
        <f>'[1]Memória de Cálculo'!A4</f>
        <v>LOCAL:</v>
      </c>
      <c r="C4" s="262" t="s">
        <v>3163</v>
      </c>
      <c r="D4" s="260"/>
      <c r="E4" s="260"/>
      <c r="F4" s="260"/>
      <c r="G4" s="260"/>
      <c r="H4" s="260"/>
      <c r="I4" s="260"/>
      <c r="J4" s="260"/>
      <c r="K4" s="261"/>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row>
    <row r="5" spans="1:60" s="208" customFormat="1" ht="15.6">
      <c r="A5" s="14"/>
      <c r="B5" s="263" t="str">
        <f>'[1]Memória de Cálculo'!A5</f>
        <v xml:space="preserve">DATA: </v>
      </c>
      <c r="C5" s="266">
        <v>45119</v>
      </c>
      <c r="D5" s="264"/>
      <c r="E5" s="264"/>
      <c r="F5" s="264"/>
      <c r="G5" s="264"/>
      <c r="H5" s="264"/>
      <c r="I5" s="264"/>
      <c r="J5" s="264"/>
      <c r="K5" s="265"/>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row>
    <row r="6" spans="1:60" s="211" customFormat="1" ht="15.6">
      <c r="A6" s="12"/>
      <c r="B6" s="12"/>
      <c r="C6" s="15"/>
      <c r="D6" s="16"/>
      <c r="E6" s="13"/>
      <c r="F6" s="210"/>
      <c r="G6" s="210"/>
      <c r="H6" s="210"/>
      <c r="I6" s="210"/>
      <c r="J6" s="210"/>
      <c r="K6" s="210"/>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row>
    <row r="7" spans="1:60" s="214" customFormat="1">
      <c r="A7" s="212"/>
      <c r="B7" s="556" t="s">
        <v>4</v>
      </c>
      <c r="C7" s="557" t="s">
        <v>2474</v>
      </c>
      <c r="D7" s="556" t="s">
        <v>2475</v>
      </c>
      <c r="E7" s="556" t="s">
        <v>2476</v>
      </c>
      <c r="F7" s="554" t="s">
        <v>2477</v>
      </c>
      <c r="G7" s="554" t="s">
        <v>2478</v>
      </c>
      <c r="H7" s="554" t="s">
        <v>2479</v>
      </c>
      <c r="I7" s="555" t="s">
        <v>2480</v>
      </c>
      <c r="J7" s="548" t="s">
        <v>2481</v>
      </c>
      <c r="K7" s="548" t="s">
        <v>2482</v>
      </c>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row>
    <row r="8" spans="1:60" s="214" customFormat="1">
      <c r="A8" s="212"/>
      <c r="B8" s="556"/>
      <c r="C8" s="557"/>
      <c r="D8" s="556"/>
      <c r="E8" s="556"/>
      <c r="F8" s="554"/>
      <c r="G8" s="554"/>
      <c r="H8" s="554"/>
      <c r="I8" s="555"/>
      <c r="J8" s="548"/>
      <c r="K8" s="548"/>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row>
    <row r="9" spans="1:60" s="215" customFormat="1" ht="15.6">
      <c r="B9" s="267" t="s">
        <v>2497</v>
      </c>
      <c r="C9" s="549" t="s">
        <v>2720</v>
      </c>
      <c r="D9" s="550"/>
      <c r="E9" s="550"/>
      <c r="F9" s="550"/>
      <c r="G9" s="550"/>
      <c r="H9" s="550"/>
      <c r="I9" s="550"/>
      <c r="J9" s="551"/>
      <c r="K9" s="271">
        <f>SMALL(K14:K15,1)</f>
        <v>375.77582846003901</v>
      </c>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row>
    <row r="10" spans="1:60" s="215" customFormat="1" ht="15.6">
      <c r="B10" s="272" t="s">
        <v>2490</v>
      </c>
      <c r="C10" s="273" t="s">
        <v>2759</v>
      </c>
      <c r="D10" s="7" t="s">
        <v>2760</v>
      </c>
      <c r="E10" s="7" t="s">
        <v>2761</v>
      </c>
      <c r="F10" s="8" t="s">
        <v>2889</v>
      </c>
      <c r="G10" s="7"/>
      <c r="H10" s="274">
        <v>45000</v>
      </c>
      <c r="I10" s="275">
        <f>3*2.85*3</f>
        <v>25.650000000000002</v>
      </c>
      <c r="J10" s="276">
        <v>9929.1200000000008</v>
      </c>
      <c r="K10" s="276">
        <f>J10/I10</f>
        <v>387.1001949317739</v>
      </c>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row>
    <row r="11" spans="1:60" s="215" customFormat="1" ht="15.6">
      <c r="B11" s="272" t="s">
        <v>2491</v>
      </c>
      <c r="C11" s="6" t="s">
        <v>3917</v>
      </c>
      <c r="D11" s="7" t="s">
        <v>2762</v>
      </c>
      <c r="E11" s="7" t="s">
        <v>2763</v>
      </c>
      <c r="F11" s="8" t="s">
        <v>2889</v>
      </c>
      <c r="G11" s="7"/>
      <c r="H11" s="274">
        <v>44995</v>
      </c>
      <c r="I11" s="275">
        <f>3*2.85*3</f>
        <v>25.650000000000002</v>
      </c>
      <c r="J11" s="276">
        <v>8994.4</v>
      </c>
      <c r="K11" s="276">
        <f>J11/I11</f>
        <v>350.65886939571146</v>
      </c>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row>
    <row r="12" spans="1:60" s="215" customFormat="1" ht="15.6">
      <c r="B12" s="272" t="s">
        <v>2494</v>
      </c>
      <c r="C12" s="6" t="s">
        <v>2764</v>
      </c>
      <c r="D12" s="7" t="s">
        <v>2765</v>
      </c>
      <c r="E12" s="7" t="s">
        <v>2766</v>
      </c>
      <c r="F12" s="8" t="s">
        <v>2889</v>
      </c>
      <c r="G12" s="7"/>
      <c r="H12" s="274">
        <v>45012</v>
      </c>
      <c r="I12" s="275">
        <f>3*2.85*3</f>
        <v>25.650000000000002</v>
      </c>
      <c r="J12" s="276">
        <v>9992.43</v>
      </c>
      <c r="K12" s="276">
        <f>J12/I12</f>
        <v>389.56842105263155</v>
      </c>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row>
    <row r="13" spans="1:60" s="215" customFormat="1" ht="15.6">
      <c r="B13" s="277"/>
      <c r="C13" s="278"/>
      <c r="D13" s="279"/>
      <c r="E13" s="279"/>
      <c r="F13" s="279"/>
      <c r="G13" s="279"/>
      <c r="H13" s="280"/>
      <c r="I13" s="281"/>
      <c r="J13" s="281"/>
      <c r="K13" s="281"/>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row>
    <row r="14" spans="1:60" s="215" customFormat="1" ht="15.6">
      <c r="B14" s="277"/>
      <c r="C14" s="278"/>
      <c r="D14" s="279"/>
      <c r="E14" s="279"/>
      <c r="F14" s="279"/>
      <c r="G14" s="279"/>
      <c r="H14" s="279"/>
      <c r="I14" s="281"/>
      <c r="J14" s="275" t="s">
        <v>2483</v>
      </c>
      <c r="K14" s="276">
        <f>AVERAGE(K10:K12)</f>
        <v>375.77582846003901</v>
      </c>
      <c r="L14" s="217"/>
    </row>
    <row r="15" spans="1:60" s="215" customFormat="1" ht="15.6">
      <c r="B15" s="277"/>
      <c r="C15" s="278"/>
      <c r="D15" s="279"/>
      <c r="E15" s="279"/>
      <c r="F15" s="279"/>
      <c r="G15" s="279"/>
      <c r="H15" s="279"/>
      <c r="I15" s="281"/>
      <c r="J15" s="275" t="s">
        <v>2484</v>
      </c>
      <c r="K15" s="276">
        <f>MEDIAN(K10:K12)</f>
        <v>387.1001949317739</v>
      </c>
      <c r="L15" s="217"/>
    </row>
    <row r="16" spans="1:60" s="215" customFormat="1" ht="15.6">
      <c r="B16" s="277"/>
      <c r="C16" s="278"/>
      <c r="D16" s="279"/>
      <c r="E16" s="279"/>
      <c r="F16" s="279"/>
      <c r="G16" s="279"/>
      <c r="H16" s="279"/>
      <c r="I16" s="279"/>
      <c r="J16" s="279"/>
      <c r="K16" s="279"/>
    </row>
    <row r="17" spans="2:56" s="215" customFormat="1" ht="15.6">
      <c r="B17" s="267" t="s">
        <v>2498</v>
      </c>
      <c r="C17" s="268" t="s">
        <v>2721</v>
      </c>
      <c r="D17" s="269"/>
      <c r="E17" s="269"/>
      <c r="F17" s="269"/>
      <c r="G17" s="269"/>
      <c r="H17" s="269"/>
      <c r="I17" s="269"/>
      <c r="J17" s="270"/>
      <c r="K17" s="271">
        <f>SMALL(K22:K23,1)</f>
        <v>374.76019184652279</v>
      </c>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row>
    <row r="18" spans="2:56" s="215" customFormat="1" ht="15.6">
      <c r="B18" s="272" t="s">
        <v>2490</v>
      </c>
      <c r="C18" s="273" t="s">
        <v>2759</v>
      </c>
      <c r="D18" s="7" t="s">
        <v>2760</v>
      </c>
      <c r="E18" s="7" t="s">
        <v>2761</v>
      </c>
      <c r="F18" s="8" t="s">
        <v>2889</v>
      </c>
      <c r="G18" s="7"/>
      <c r="H18" s="274">
        <v>45000</v>
      </c>
      <c r="I18" s="275">
        <f>2*4.17*3</f>
        <v>25.02</v>
      </c>
      <c r="J18" s="276">
        <v>9754.92</v>
      </c>
      <c r="K18" s="276">
        <f>J18/I18</f>
        <v>389.88489208633092</v>
      </c>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row>
    <row r="19" spans="2:56" s="215" customFormat="1" ht="15.6">
      <c r="B19" s="272" t="s">
        <v>2491</v>
      </c>
      <c r="C19" s="6" t="s">
        <v>3917</v>
      </c>
      <c r="D19" s="7" t="s">
        <v>2762</v>
      </c>
      <c r="E19" s="7" t="s">
        <v>2763</v>
      </c>
      <c r="F19" s="8" t="s">
        <v>2889</v>
      </c>
      <c r="G19" s="7"/>
      <c r="H19" s="274">
        <v>44995</v>
      </c>
      <c r="I19" s="275">
        <f>2*4.17*3</f>
        <v>25.02</v>
      </c>
      <c r="J19" s="276">
        <v>8371.8799999999992</v>
      </c>
      <c r="K19" s="276">
        <f>J19/I19</f>
        <v>334.60751398880893</v>
      </c>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row>
    <row r="20" spans="2:56" s="215" customFormat="1" ht="15.6">
      <c r="B20" s="272" t="s">
        <v>2494</v>
      </c>
      <c r="C20" s="6" t="s">
        <v>2764</v>
      </c>
      <c r="D20" s="7" t="s">
        <v>2765</v>
      </c>
      <c r="E20" s="7" t="s">
        <v>2766</v>
      </c>
      <c r="F20" s="8" t="s">
        <v>2889</v>
      </c>
      <c r="G20" s="7"/>
      <c r="H20" s="274">
        <v>45012</v>
      </c>
      <c r="I20" s="275">
        <f>2*4.17*3</f>
        <v>25.02</v>
      </c>
      <c r="J20" s="276">
        <v>10002.700000000001</v>
      </c>
      <c r="K20" s="276">
        <f>J20/I20</f>
        <v>399.78816946442851</v>
      </c>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row>
    <row r="21" spans="2:56" s="215" customFormat="1" ht="15.6">
      <c r="B21" s="277"/>
      <c r="C21" s="278"/>
      <c r="D21" s="279"/>
      <c r="E21" s="279"/>
      <c r="F21" s="279"/>
      <c r="G21" s="279"/>
      <c r="H21" s="280"/>
      <c r="I21" s="281"/>
      <c r="J21" s="281"/>
      <c r="K21" s="281"/>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row>
    <row r="22" spans="2:56" s="215" customFormat="1" ht="15.6">
      <c r="B22" s="277"/>
      <c r="C22" s="278"/>
      <c r="D22" s="279"/>
      <c r="E22" s="279"/>
      <c r="F22" s="279"/>
      <c r="G22" s="279"/>
      <c r="H22" s="279"/>
      <c r="I22" s="281"/>
      <c r="J22" s="275" t="s">
        <v>2483</v>
      </c>
      <c r="K22" s="276">
        <f>AVERAGE(K18:K20)</f>
        <v>374.76019184652279</v>
      </c>
      <c r="L22" s="217"/>
    </row>
    <row r="23" spans="2:56" s="215" customFormat="1" ht="15.6">
      <c r="B23" s="277"/>
      <c r="C23" s="278"/>
      <c r="D23" s="279"/>
      <c r="E23" s="279"/>
      <c r="F23" s="279"/>
      <c r="G23" s="279"/>
      <c r="H23" s="279"/>
      <c r="I23" s="281"/>
      <c r="J23" s="275" t="s">
        <v>2484</v>
      </c>
      <c r="K23" s="276">
        <f>MEDIAN(K18:K20)</f>
        <v>389.88489208633092</v>
      </c>
      <c r="L23" s="217"/>
    </row>
    <row r="24" spans="2:56" s="215" customFormat="1" ht="15.6">
      <c r="B24" s="277"/>
      <c r="C24" s="278"/>
      <c r="D24" s="279"/>
      <c r="E24" s="279"/>
      <c r="F24" s="279"/>
      <c r="G24" s="279"/>
      <c r="H24" s="279"/>
      <c r="I24" s="280"/>
      <c r="J24" s="279"/>
      <c r="K24" s="279"/>
    </row>
    <row r="25" spans="2:56" s="215" customFormat="1" ht="15.6">
      <c r="B25" s="267" t="s">
        <v>2568</v>
      </c>
      <c r="C25" s="549" t="s">
        <v>2722</v>
      </c>
      <c r="D25" s="550"/>
      <c r="E25" s="550"/>
      <c r="F25" s="550"/>
      <c r="G25" s="550"/>
      <c r="H25" s="550"/>
      <c r="I25" s="550"/>
      <c r="J25" s="551"/>
      <c r="K25" s="271">
        <f>SMALL(K30:K31,1)</f>
        <v>383.98547854785483</v>
      </c>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row>
    <row r="26" spans="2:56" s="215" customFormat="1" ht="15.6">
      <c r="B26" s="272" t="s">
        <v>2490</v>
      </c>
      <c r="C26" s="273" t="s">
        <v>2759</v>
      </c>
      <c r="D26" s="7" t="s">
        <v>2760</v>
      </c>
      <c r="E26" s="7" t="s">
        <v>2761</v>
      </c>
      <c r="F26" s="8" t="s">
        <v>2889</v>
      </c>
      <c r="G26" s="7"/>
      <c r="H26" s="274">
        <v>45000</v>
      </c>
      <c r="I26" s="275">
        <f>5*2.02*3</f>
        <v>30.299999999999997</v>
      </c>
      <c r="J26" s="276">
        <v>11903.33</v>
      </c>
      <c r="K26" s="276">
        <f>J26/I26</f>
        <v>392.84917491749178</v>
      </c>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row>
    <row r="27" spans="2:56" s="215" customFormat="1" ht="15.6">
      <c r="B27" s="272" t="s">
        <v>2491</v>
      </c>
      <c r="C27" s="6" t="s">
        <v>3917</v>
      </c>
      <c r="D27" s="7" t="s">
        <v>2762</v>
      </c>
      <c r="E27" s="7" t="s">
        <v>2763</v>
      </c>
      <c r="F27" s="8" t="s">
        <v>2889</v>
      </c>
      <c r="G27" s="7"/>
      <c r="H27" s="274">
        <v>44995</v>
      </c>
      <c r="I27" s="275">
        <f>5*2.02*3</f>
        <v>30.299999999999997</v>
      </c>
      <c r="J27" s="276">
        <v>11332.65</v>
      </c>
      <c r="K27" s="276">
        <f>J27/I27</f>
        <v>374.01485148514854</v>
      </c>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row>
    <row r="28" spans="2:56" s="215" customFormat="1" ht="15.6">
      <c r="B28" s="272" t="s">
        <v>2494</v>
      </c>
      <c r="C28" s="6" t="s">
        <v>2764</v>
      </c>
      <c r="D28" s="7" t="s">
        <v>2765</v>
      </c>
      <c r="E28" s="7" t="s">
        <v>2766</v>
      </c>
      <c r="F28" s="8" t="s">
        <v>2889</v>
      </c>
      <c r="G28" s="7"/>
      <c r="H28" s="274">
        <v>45012</v>
      </c>
      <c r="I28" s="275">
        <f>5*2.02*3</f>
        <v>30.299999999999997</v>
      </c>
      <c r="J28" s="276">
        <v>11668.3</v>
      </c>
      <c r="K28" s="276">
        <f>J28/I28</f>
        <v>385.0924092409241</v>
      </c>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2:56" s="215" customFormat="1" ht="15.6">
      <c r="B29" s="277"/>
      <c r="C29" s="278"/>
      <c r="D29" s="279"/>
      <c r="E29" s="279"/>
      <c r="F29" s="279"/>
      <c r="G29" s="279"/>
      <c r="H29" s="279"/>
      <c r="I29" s="281"/>
      <c r="J29" s="281"/>
      <c r="K29" s="281"/>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row>
    <row r="30" spans="2:56" s="215" customFormat="1" ht="15.6">
      <c r="B30" s="277"/>
      <c r="C30" s="278"/>
      <c r="D30" s="279"/>
      <c r="E30" s="279"/>
      <c r="F30" s="279"/>
      <c r="G30" s="279"/>
      <c r="H30" s="279"/>
      <c r="I30" s="281"/>
      <c r="J30" s="275" t="s">
        <v>2483</v>
      </c>
      <c r="K30" s="276">
        <f>AVERAGE(K26:K28)</f>
        <v>383.98547854785483</v>
      </c>
      <c r="L30" s="217"/>
    </row>
    <row r="31" spans="2:56" s="215" customFormat="1" ht="15.6">
      <c r="B31" s="277"/>
      <c r="C31" s="278"/>
      <c r="D31" s="279"/>
      <c r="E31" s="279"/>
      <c r="F31" s="279"/>
      <c r="G31" s="279"/>
      <c r="H31" s="279"/>
      <c r="I31" s="281"/>
      <c r="J31" s="275" t="s">
        <v>2484</v>
      </c>
      <c r="K31" s="276">
        <f>MEDIAN(K26:K28)</f>
        <v>385.0924092409241</v>
      </c>
      <c r="L31" s="217"/>
    </row>
    <row r="32" spans="2:56" s="215" customFormat="1" ht="15.6">
      <c r="B32" s="277"/>
      <c r="C32" s="278"/>
      <c r="D32" s="279"/>
      <c r="E32" s="279"/>
      <c r="F32" s="279"/>
      <c r="G32" s="279"/>
      <c r="H32" s="279"/>
      <c r="I32" s="279"/>
      <c r="J32" s="279"/>
      <c r="K32" s="279"/>
    </row>
    <row r="33" spans="2:56" s="215" customFormat="1" ht="15.6">
      <c r="B33" s="267" t="s">
        <v>2569</v>
      </c>
      <c r="C33" s="549" t="s">
        <v>3918</v>
      </c>
      <c r="D33" s="550"/>
      <c r="E33" s="550"/>
      <c r="F33" s="550"/>
      <c r="G33" s="550"/>
      <c r="H33" s="550"/>
      <c r="I33" s="550"/>
      <c r="J33" s="551"/>
      <c r="K33" s="271">
        <f>SMALL(K38:K39,1)</f>
        <v>377.65784195748091</v>
      </c>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row>
    <row r="34" spans="2:56" s="215" customFormat="1" ht="15.6">
      <c r="B34" s="272" t="s">
        <v>2490</v>
      </c>
      <c r="C34" s="273" t="s">
        <v>2759</v>
      </c>
      <c r="D34" s="7" t="s">
        <v>2760</v>
      </c>
      <c r="E34" s="7" t="s">
        <v>2761</v>
      </c>
      <c r="F34" s="8" t="s">
        <v>2889</v>
      </c>
      <c r="G34" s="7"/>
      <c r="H34" s="274">
        <v>45000</v>
      </c>
      <c r="I34" s="275">
        <f>2.77*3</f>
        <v>8.31</v>
      </c>
      <c r="J34" s="276">
        <v>3251.64</v>
      </c>
      <c r="K34" s="276">
        <f>J34/I34</f>
        <v>391.29241877256311</v>
      </c>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row>
    <row r="35" spans="2:56" s="215" customFormat="1" ht="15.6">
      <c r="B35" s="272" t="s">
        <v>2491</v>
      </c>
      <c r="C35" s="6" t="s">
        <v>3917</v>
      </c>
      <c r="D35" s="7" t="s">
        <v>2762</v>
      </c>
      <c r="E35" s="7" t="s">
        <v>2763</v>
      </c>
      <c r="F35" s="8" t="s">
        <v>2889</v>
      </c>
      <c r="G35" s="7"/>
      <c r="H35" s="274">
        <v>44995</v>
      </c>
      <c r="I35" s="275">
        <f t="shared" ref="I35:I36" si="0">2.77*3</f>
        <v>8.31</v>
      </c>
      <c r="J35" s="276">
        <v>2909.87</v>
      </c>
      <c r="K35" s="276">
        <f>J35/I35</f>
        <v>350.16486161251498</v>
      </c>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row>
    <row r="36" spans="2:56" s="215" customFormat="1" ht="15.6">
      <c r="B36" s="272" t="s">
        <v>2494</v>
      </c>
      <c r="C36" s="6" t="s">
        <v>2764</v>
      </c>
      <c r="D36" s="7" t="s">
        <v>2765</v>
      </c>
      <c r="E36" s="7" t="s">
        <v>2766</v>
      </c>
      <c r="F36" s="8" t="s">
        <v>2889</v>
      </c>
      <c r="G36" s="7"/>
      <c r="H36" s="274">
        <v>45012</v>
      </c>
      <c r="I36" s="275">
        <f t="shared" si="0"/>
        <v>8.31</v>
      </c>
      <c r="J36" s="276">
        <v>3253.5</v>
      </c>
      <c r="K36" s="276">
        <f>J36/I36</f>
        <v>391.51624548736459</v>
      </c>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row>
    <row r="37" spans="2:56" s="215" customFormat="1" ht="15.6">
      <c r="B37" s="277"/>
      <c r="C37" s="278"/>
      <c r="D37" s="279"/>
      <c r="E37" s="279"/>
      <c r="F37" s="279"/>
      <c r="G37" s="279"/>
      <c r="H37" s="279"/>
      <c r="I37" s="281"/>
      <c r="J37" s="281"/>
      <c r="K37" s="281"/>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row>
    <row r="38" spans="2:56" s="215" customFormat="1" ht="15.6">
      <c r="B38" s="277"/>
      <c r="C38" s="278"/>
      <c r="D38" s="279"/>
      <c r="E38" s="279"/>
      <c r="F38" s="279"/>
      <c r="G38" s="279"/>
      <c r="H38" s="279"/>
      <c r="I38" s="281"/>
      <c r="J38" s="275" t="s">
        <v>2483</v>
      </c>
      <c r="K38" s="276">
        <f>AVERAGE(K34:K36)</f>
        <v>377.65784195748091</v>
      </c>
      <c r="L38" s="217"/>
    </row>
    <row r="39" spans="2:56" s="215" customFormat="1" ht="15.6">
      <c r="B39" s="277"/>
      <c r="C39" s="278"/>
      <c r="D39" s="279"/>
      <c r="E39" s="279"/>
      <c r="F39" s="279"/>
      <c r="G39" s="279"/>
      <c r="H39" s="279"/>
      <c r="I39" s="281"/>
      <c r="J39" s="275" t="s">
        <v>2484</v>
      </c>
      <c r="K39" s="276">
        <f>MEDIAN(K34:K36)</f>
        <v>391.29241877256311</v>
      </c>
      <c r="L39" s="217"/>
    </row>
    <row r="40" spans="2:56" s="215" customFormat="1" ht="15.6">
      <c r="B40" s="277"/>
      <c r="C40" s="278"/>
      <c r="D40" s="279"/>
      <c r="E40" s="279"/>
      <c r="F40" s="279"/>
      <c r="G40" s="279"/>
      <c r="H40" s="279"/>
      <c r="I40" s="279"/>
      <c r="J40" s="279"/>
      <c r="K40" s="279"/>
    </row>
    <row r="41" spans="2:56" s="215" customFormat="1" ht="15.6">
      <c r="B41" s="267" t="s">
        <v>2570</v>
      </c>
      <c r="C41" s="549" t="s">
        <v>2724</v>
      </c>
      <c r="D41" s="550"/>
      <c r="E41" s="550"/>
      <c r="F41" s="550"/>
      <c r="G41" s="550"/>
      <c r="H41" s="550"/>
      <c r="I41" s="550"/>
      <c r="J41" s="551"/>
      <c r="K41" s="271">
        <f>SMALL(K46:K47,1)</f>
        <v>376.28049242424237</v>
      </c>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row>
    <row r="42" spans="2:56" s="215" customFormat="1" ht="15.6">
      <c r="B42" s="272" t="s">
        <v>2490</v>
      </c>
      <c r="C42" s="273" t="s">
        <v>2759</v>
      </c>
      <c r="D42" s="7" t="s">
        <v>2760</v>
      </c>
      <c r="E42" s="7" t="s">
        <v>2761</v>
      </c>
      <c r="F42" s="8" t="s">
        <v>2889</v>
      </c>
      <c r="G42" s="7"/>
      <c r="H42" s="274">
        <v>45000</v>
      </c>
      <c r="I42" s="275">
        <f>2*4*2.2</f>
        <v>17.600000000000001</v>
      </c>
      <c r="J42" s="276">
        <v>6812.96</v>
      </c>
      <c r="K42" s="276">
        <f>J42/I42</f>
        <v>387.09999999999997</v>
      </c>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row>
    <row r="43" spans="2:56" s="215" customFormat="1" ht="15.6">
      <c r="B43" s="272" t="s">
        <v>2491</v>
      </c>
      <c r="C43" s="6" t="s">
        <v>3917</v>
      </c>
      <c r="D43" s="7" t="s">
        <v>2762</v>
      </c>
      <c r="E43" s="7" t="s">
        <v>2763</v>
      </c>
      <c r="F43" s="8" t="s">
        <v>2889</v>
      </c>
      <c r="G43" s="7"/>
      <c r="H43" s="274">
        <v>44995</v>
      </c>
      <c r="I43" s="275">
        <f>2*4*2.2</f>
        <v>17.600000000000001</v>
      </c>
      <c r="J43" s="276">
        <v>6119.13</v>
      </c>
      <c r="K43" s="276">
        <f>J43/I43</f>
        <v>347.67784090909089</v>
      </c>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row>
    <row r="44" spans="2:56" s="215" customFormat="1" ht="15.6">
      <c r="B44" s="272" t="s">
        <v>2494</v>
      </c>
      <c r="C44" s="6" t="s">
        <v>2764</v>
      </c>
      <c r="D44" s="7" t="s">
        <v>2765</v>
      </c>
      <c r="E44" s="7" t="s">
        <v>2766</v>
      </c>
      <c r="F44" s="8" t="s">
        <v>2889</v>
      </c>
      <c r="G44" s="7"/>
      <c r="H44" s="274">
        <v>45012</v>
      </c>
      <c r="I44" s="275">
        <f>2*4*2.2</f>
        <v>17.600000000000001</v>
      </c>
      <c r="J44" s="276">
        <v>6935.52</v>
      </c>
      <c r="K44" s="276">
        <f>J44/I44</f>
        <v>394.06363636363636</v>
      </c>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row>
    <row r="45" spans="2:56" s="215" customFormat="1" ht="15.6">
      <c r="B45" s="277"/>
      <c r="C45" s="278"/>
      <c r="D45" s="279"/>
      <c r="E45" s="279"/>
      <c r="F45" s="279"/>
      <c r="G45" s="279"/>
      <c r="H45" s="279"/>
      <c r="I45" s="281"/>
      <c r="J45" s="281"/>
      <c r="K45" s="281"/>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row>
    <row r="46" spans="2:56" s="215" customFormat="1" ht="15.6">
      <c r="B46" s="277"/>
      <c r="C46" s="278"/>
      <c r="D46" s="279"/>
      <c r="E46" s="279"/>
      <c r="F46" s="279"/>
      <c r="G46" s="279"/>
      <c r="H46" s="279"/>
      <c r="I46" s="281"/>
      <c r="J46" s="275" t="s">
        <v>2483</v>
      </c>
      <c r="K46" s="276">
        <f>AVERAGE(K42:K44)</f>
        <v>376.28049242424237</v>
      </c>
      <c r="L46" s="217"/>
    </row>
    <row r="47" spans="2:56" s="215" customFormat="1" ht="15.6">
      <c r="B47" s="277"/>
      <c r="C47" s="278"/>
      <c r="D47" s="279"/>
      <c r="E47" s="279"/>
      <c r="F47" s="279"/>
      <c r="G47" s="279"/>
      <c r="H47" s="279"/>
      <c r="I47" s="281"/>
      <c r="J47" s="275" t="s">
        <v>2484</v>
      </c>
      <c r="K47" s="276">
        <f>MEDIAN(K42:K44)</f>
        <v>387.09999999999997</v>
      </c>
      <c r="L47" s="217"/>
    </row>
    <row r="48" spans="2:56" s="215" customFormat="1" ht="15.6">
      <c r="B48" s="277"/>
      <c r="C48" s="278"/>
      <c r="D48" s="279"/>
      <c r="E48" s="279"/>
      <c r="F48" s="279"/>
      <c r="G48" s="279"/>
      <c r="H48" s="279"/>
      <c r="I48" s="279"/>
      <c r="J48" s="279"/>
      <c r="K48" s="279"/>
    </row>
    <row r="49" spans="2:56" s="215" customFormat="1" ht="15.6">
      <c r="B49" s="267" t="s">
        <v>2576</v>
      </c>
      <c r="C49" s="549" t="s">
        <v>2725</v>
      </c>
      <c r="D49" s="550"/>
      <c r="E49" s="550"/>
      <c r="F49" s="550"/>
      <c r="G49" s="550"/>
      <c r="H49" s="550"/>
      <c r="I49" s="550"/>
      <c r="J49" s="551"/>
      <c r="K49" s="271">
        <f>SMALL(K54:K55,1)</f>
        <v>380.76745718050068</v>
      </c>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row>
    <row r="50" spans="2:56" s="215" customFormat="1" ht="15.6">
      <c r="B50" s="272" t="s">
        <v>2490</v>
      </c>
      <c r="C50" s="273" t="s">
        <v>2759</v>
      </c>
      <c r="D50" s="7" t="s">
        <v>2760</v>
      </c>
      <c r="E50" s="7" t="s">
        <v>2761</v>
      </c>
      <c r="F50" s="8" t="s">
        <v>2889</v>
      </c>
      <c r="G50" s="7"/>
      <c r="H50" s="274">
        <v>45000</v>
      </c>
      <c r="I50" s="275">
        <f>5*2.3*2.2</f>
        <v>25.3</v>
      </c>
      <c r="J50" s="276">
        <v>9793.6299999999992</v>
      </c>
      <c r="K50" s="276">
        <f>J50/I50</f>
        <v>387.09999999999997</v>
      </c>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row>
    <row r="51" spans="2:56" s="215" customFormat="1" ht="15.6">
      <c r="B51" s="272" t="s">
        <v>2491</v>
      </c>
      <c r="C51" s="6" t="s">
        <v>3917</v>
      </c>
      <c r="D51" s="7" t="s">
        <v>2762</v>
      </c>
      <c r="E51" s="7" t="s">
        <v>2763</v>
      </c>
      <c r="F51" s="8" t="s">
        <v>2889</v>
      </c>
      <c r="G51" s="7"/>
      <c r="H51" s="274">
        <v>44995</v>
      </c>
      <c r="I51" s="275">
        <f>5*2.3*2.2</f>
        <v>25.3</v>
      </c>
      <c r="J51" s="276">
        <v>9369.02</v>
      </c>
      <c r="K51" s="276">
        <f>J51/I51</f>
        <v>370.31699604743085</v>
      </c>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row>
    <row r="52" spans="2:56" s="215" customFormat="1" ht="15.6">
      <c r="B52" s="272" t="s">
        <v>2494</v>
      </c>
      <c r="C52" s="6" t="s">
        <v>2764</v>
      </c>
      <c r="D52" s="7" t="s">
        <v>2765</v>
      </c>
      <c r="E52" s="7" t="s">
        <v>2766</v>
      </c>
      <c r="F52" s="8" t="s">
        <v>2889</v>
      </c>
      <c r="G52" s="7"/>
      <c r="H52" s="274">
        <v>45012</v>
      </c>
      <c r="I52" s="275">
        <f>5*2.3*2.2</f>
        <v>25.3</v>
      </c>
      <c r="J52" s="276">
        <v>9737.6</v>
      </c>
      <c r="K52" s="276">
        <f>J52/I52</f>
        <v>384.88537549407113</v>
      </c>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row>
    <row r="53" spans="2:56" s="215" customFormat="1" ht="15.6">
      <c r="B53" s="277"/>
      <c r="C53" s="278"/>
      <c r="D53" s="279"/>
      <c r="E53" s="279"/>
      <c r="F53" s="279"/>
      <c r="G53" s="279"/>
      <c r="H53" s="279"/>
      <c r="I53" s="281"/>
      <c r="J53" s="281"/>
      <c r="K53" s="281"/>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row>
    <row r="54" spans="2:56" s="215" customFormat="1" ht="15.6">
      <c r="B54" s="277"/>
      <c r="C54" s="278"/>
      <c r="D54" s="279"/>
      <c r="E54" s="279"/>
      <c r="F54" s="279"/>
      <c r="G54" s="279"/>
      <c r="H54" s="279"/>
      <c r="I54" s="281"/>
      <c r="J54" s="275" t="s">
        <v>2483</v>
      </c>
      <c r="K54" s="276">
        <f>AVERAGE(K50:K52)</f>
        <v>380.76745718050068</v>
      </c>
      <c r="L54" s="217"/>
    </row>
    <row r="55" spans="2:56" s="215" customFormat="1" ht="15.6">
      <c r="B55" s="277"/>
      <c r="C55" s="278"/>
      <c r="D55" s="279"/>
      <c r="E55" s="279"/>
      <c r="F55" s="279"/>
      <c r="G55" s="279"/>
      <c r="H55" s="279"/>
      <c r="I55" s="281"/>
      <c r="J55" s="275" t="s">
        <v>2484</v>
      </c>
      <c r="K55" s="276">
        <f>MEDIAN(K50:K52)</f>
        <v>384.88537549407113</v>
      </c>
      <c r="L55" s="217"/>
    </row>
    <row r="56" spans="2:56" s="215" customFormat="1" ht="15.6">
      <c r="B56" s="277"/>
      <c r="C56" s="278"/>
      <c r="D56" s="279"/>
      <c r="E56" s="279"/>
      <c r="F56" s="279"/>
      <c r="G56" s="279"/>
      <c r="H56" s="279"/>
      <c r="I56" s="279"/>
      <c r="J56" s="279"/>
      <c r="K56" s="279"/>
    </row>
    <row r="57" spans="2:56" s="215" customFormat="1" ht="15.6">
      <c r="B57" s="267" t="s">
        <v>2590</v>
      </c>
      <c r="C57" s="549" t="s">
        <v>2727</v>
      </c>
      <c r="D57" s="550"/>
      <c r="E57" s="550"/>
      <c r="F57" s="550"/>
      <c r="G57" s="550"/>
      <c r="H57" s="550"/>
      <c r="I57" s="550"/>
      <c r="J57" s="551"/>
      <c r="K57" s="271">
        <f>SMALL(K62:K63,1)</f>
        <v>383.12941444520385</v>
      </c>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row>
    <row r="58" spans="2:56" s="215" customFormat="1" ht="15.6">
      <c r="B58" s="272" t="s">
        <v>2490</v>
      </c>
      <c r="C58" s="273" t="s">
        <v>2759</v>
      </c>
      <c r="D58" s="7" t="s">
        <v>2760</v>
      </c>
      <c r="E58" s="7" t="s">
        <v>2761</v>
      </c>
      <c r="F58" s="8" t="s">
        <v>2889</v>
      </c>
      <c r="G58" s="7"/>
      <c r="H58" s="274">
        <v>45000</v>
      </c>
      <c r="I58" s="275">
        <f>7*2.85*2.2</f>
        <v>43.89</v>
      </c>
      <c r="J58" s="276">
        <v>16989.82</v>
      </c>
      <c r="K58" s="276">
        <f>J58/I58</f>
        <v>387.10002278423332</v>
      </c>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row>
    <row r="59" spans="2:56" s="215" customFormat="1" ht="15.6">
      <c r="B59" s="272" t="s">
        <v>2491</v>
      </c>
      <c r="C59" s="6" t="s">
        <v>3917</v>
      </c>
      <c r="D59" s="7" t="s">
        <v>2762</v>
      </c>
      <c r="E59" s="7" t="s">
        <v>2763</v>
      </c>
      <c r="F59" s="8" t="s">
        <v>2889</v>
      </c>
      <c r="G59" s="7"/>
      <c r="H59" s="274">
        <v>44995</v>
      </c>
      <c r="I59" s="275">
        <f>7*2.85*2.2</f>
        <v>43.89</v>
      </c>
      <c r="J59" s="276">
        <v>16001.21</v>
      </c>
      <c r="K59" s="276">
        <f>J59/I59</f>
        <v>364.57530189109133</v>
      </c>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row>
    <row r="60" spans="2:56" s="215" customFormat="1" ht="15.6">
      <c r="B60" s="272" t="s">
        <v>2494</v>
      </c>
      <c r="C60" s="6" t="s">
        <v>2764</v>
      </c>
      <c r="D60" s="7" t="s">
        <v>2765</v>
      </c>
      <c r="E60" s="7" t="s">
        <v>2766</v>
      </c>
      <c r="F60" s="8" t="s">
        <v>2889</v>
      </c>
      <c r="G60" s="7"/>
      <c r="H60" s="274">
        <v>45012</v>
      </c>
      <c r="I60" s="275">
        <f>7*2.85*2.2</f>
        <v>43.89</v>
      </c>
      <c r="J60" s="276">
        <v>17455.62</v>
      </c>
      <c r="K60" s="276">
        <f>J60/I60</f>
        <v>397.71291866028707</v>
      </c>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row>
    <row r="61" spans="2:56" s="215" customFormat="1" ht="15.6">
      <c r="B61" s="277"/>
      <c r="C61" s="278"/>
      <c r="D61" s="279"/>
      <c r="E61" s="279"/>
      <c r="F61" s="279"/>
      <c r="G61" s="279"/>
      <c r="H61" s="279"/>
      <c r="I61" s="281"/>
      <c r="J61" s="281"/>
      <c r="K61" s="281"/>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row>
    <row r="62" spans="2:56" s="215" customFormat="1" ht="15.6">
      <c r="B62" s="277"/>
      <c r="C62" s="278"/>
      <c r="D62" s="279"/>
      <c r="E62" s="279"/>
      <c r="F62" s="279"/>
      <c r="G62" s="279"/>
      <c r="H62" s="279"/>
      <c r="I62" s="281"/>
      <c r="J62" s="275" t="s">
        <v>2483</v>
      </c>
      <c r="K62" s="276">
        <f>AVERAGE(K58:K60)</f>
        <v>383.12941444520385</v>
      </c>
      <c r="L62" s="217"/>
    </row>
    <row r="63" spans="2:56" s="215" customFormat="1" ht="15.6">
      <c r="B63" s="277"/>
      <c r="C63" s="278"/>
      <c r="D63" s="279"/>
      <c r="E63" s="279"/>
      <c r="F63" s="279"/>
      <c r="G63" s="279"/>
      <c r="H63" s="279"/>
      <c r="I63" s="281"/>
      <c r="J63" s="275" t="s">
        <v>2484</v>
      </c>
      <c r="K63" s="276">
        <f>MEDIAN(K58:K60)</f>
        <v>387.10002278423332</v>
      </c>
      <c r="L63" s="217"/>
    </row>
    <row r="64" spans="2:56" s="215" customFormat="1" ht="15.6">
      <c r="B64" s="277"/>
      <c r="C64" s="278"/>
      <c r="D64" s="279"/>
      <c r="E64" s="279"/>
      <c r="F64" s="279"/>
      <c r="G64" s="279"/>
      <c r="H64" s="279"/>
      <c r="I64" s="279"/>
      <c r="J64" s="279"/>
      <c r="K64" s="279"/>
    </row>
    <row r="65" spans="2:56" s="215" customFormat="1" ht="15.6">
      <c r="B65" s="267" t="s">
        <v>2591</v>
      </c>
      <c r="C65" s="549" t="s">
        <v>2861</v>
      </c>
      <c r="D65" s="550"/>
      <c r="E65" s="550"/>
      <c r="F65" s="550"/>
      <c r="G65" s="550"/>
      <c r="H65" s="550"/>
      <c r="I65" s="550"/>
      <c r="J65" s="551"/>
      <c r="K65" s="271">
        <f>SMALL(K70:K71,1)</f>
        <v>6624.46</v>
      </c>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row>
    <row r="66" spans="2:56" s="215" customFormat="1" ht="15.6">
      <c r="B66" s="272" t="s">
        <v>2490</v>
      </c>
      <c r="C66" s="273" t="s">
        <v>2759</v>
      </c>
      <c r="D66" s="7" t="s">
        <v>2760</v>
      </c>
      <c r="E66" s="7" t="s">
        <v>2761</v>
      </c>
      <c r="F66" s="8" t="s">
        <v>2562</v>
      </c>
      <c r="G66" s="7"/>
      <c r="H66" s="274">
        <v>45000</v>
      </c>
      <c r="I66" s="275">
        <v>3</v>
      </c>
      <c r="J66" s="276">
        <v>18832.02</v>
      </c>
      <c r="K66" s="276">
        <f>J66/I66</f>
        <v>6277.34</v>
      </c>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row>
    <row r="67" spans="2:56" s="215" customFormat="1" ht="15.6">
      <c r="B67" s="272" t="s">
        <v>2491</v>
      </c>
      <c r="C67" s="6" t="s">
        <v>3917</v>
      </c>
      <c r="D67" s="7" t="s">
        <v>2762</v>
      </c>
      <c r="E67" s="7" t="s">
        <v>2763</v>
      </c>
      <c r="F67" s="8" t="s">
        <v>2562</v>
      </c>
      <c r="G67" s="7"/>
      <c r="H67" s="274">
        <v>44995</v>
      </c>
      <c r="I67" s="275">
        <v>3</v>
      </c>
      <c r="J67" s="276">
        <v>19873.38</v>
      </c>
      <c r="K67" s="276">
        <f>J67/I67</f>
        <v>6624.46</v>
      </c>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row>
    <row r="68" spans="2:56" s="215" customFormat="1" ht="15.6">
      <c r="B68" s="272" t="s">
        <v>2494</v>
      </c>
      <c r="C68" s="6" t="s">
        <v>2764</v>
      </c>
      <c r="D68" s="7" t="s">
        <v>2765</v>
      </c>
      <c r="E68" s="7" t="s">
        <v>2766</v>
      </c>
      <c r="F68" s="8" t="s">
        <v>2562</v>
      </c>
      <c r="G68" s="7"/>
      <c r="H68" s="274">
        <v>45012</v>
      </c>
      <c r="I68" s="275">
        <v>3</v>
      </c>
      <c r="J68" s="276">
        <v>25987.96</v>
      </c>
      <c r="K68" s="276">
        <f>J68/I68</f>
        <v>8662.6533333333336</v>
      </c>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row>
    <row r="69" spans="2:56" s="215" customFormat="1" ht="15.6">
      <c r="B69" s="277"/>
      <c r="C69" s="278"/>
      <c r="D69" s="279"/>
      <c r="E69" s="279"/>
      <c r="F69" s="279"/>
      <c r="G69" s="279"/>
      <c r="H69" s="279"/>
      <c r="I69" s="281"/>
      <c r="J69" s="281"/>
      <c r="K69" s="281"/>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row>
    <row r="70" spans="2:56" s="215" customFormat="1" ht="15.6">
      <c r="B70" s="277"/>
      <c r="C70" s="278"/>
      <c r="D70" s="279"/>
      <c r="E70" s="279"/>
      <c r="F70" s="279"/>
      <c r="G70" s="279"/>
      <c r="H70" s="279"/>
      <c r="I70" s="281"/>
      <c r="J70" s="275" t="s">
        <v>2483</v>
      </c>
      <c r="K70" s="276">
        <f>AVERAGE(K66:K68)</f>
        <v>7188.1511111111104</v>
      </c>
      <c r="L70" s="217"/>
    </row>
    <row r="71" spans="2:56" s="215" customFormat="1" ht="15.6">
      <c r="B71" s="277"/>
      <c r="C71" s="278"/>
      <c r="D71" s="279"/>
      <c r="E71" s="279"/>
      <c r="F71" s="279"/>
      <c r="G71" s="279"/>
      <c r="H71" s="279"/>
      <c r="I71" s="281"/>
      <c r="J71" s="275" t="s">
        <v>2484</v>
      </c>
      <c r="K71" s="276">
        <f>MEDIAN(K66:K68)</f>
        <v>6624.46</v>
      </c>
      <c r="L71" s="217"/>
    </row>
    <row r="72" spans="2:56" s="215" customFormat="1" ht="15.6">
      <c r="B72" s="277"/>
      <c r="C72" s="278"/>
      <c r="D72" s="279"/>
      <c r="E72" s="279"/>
      <c r="F72" s="279"/>
      <c r="G72" s="279"/>
      <c r="H72" s="279"/>
      <c r="I72" s="279"/>
      <c r="J72" s="279"/>
      <c r="K72" s="279"/>
    </row>
    <row r="73" spans="2:56" s="215" customFormat="1" ht="15.6">
      <c r="B73" s="267" t="s">
        <v>2592</v>
      </c>
      <c r="C73" s="549" t="s">
        <v>2862</v>
      </c>
      <c r="D73" s="550"/>
      <c r="E73" s="550"/>
      <c r="F73" s="550"/>
      <c r="G73" s="550"/>
      <c r="H73" s="550"/>
      <c r="I73" s="550"/>
      <c r="J73" s="551"/>
      <c r="K73" s="271">
        <f>SMALL(K78:K79,1)</f>
        <v>1516.08</v>
      </c>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row>
    <row r="74" spans="2:56" s="215" customFormat="1" ht="15.6">
      <c r="B74" s="272" t="s">
        <v>2490</v>
      </c>
      <c r="C74" s="273" t="s">
        <v>2759</v>
      </c>
      <c r="D74" s="7" t="s">
        <v>2760</v>
      </c>
      <c r="E74" s="7" t="s">
        <v>2761</v>
      </c>
      <c r="F74" s="8" t="s">
        <v>2562</v>
      </c>
      <c r="G74" s="7"/>
      <c r="H74" s="274">
        <v>45000</v>
      </c>
      <c r="I74" s="275">
        <v>8</v>
      </c>
      <c r="J74" s="276">
        <v>9865.52</v>
      </c>
      <c r="K74" s="276">
        <f>J74/I74</f>
        <v>1233.19</v>
      </c>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row>
    <row r="75" spans="2:56" s="215" customFormat="1" ht="15.6">
      <c r="B75" s="272" t="s">
        <v>2491</v>
      </c>
      <c r="C75" s="6" t="s">
        <v>3917</v>
      </c>
      <c r="D75" s="7" t="s">
        <v>2762</v>
      </c>
      <c r="E75" s="7" t="s">
        <v>2763</v>
      </c>
      <c r="F75" s="8" t="s">
        <v>2562</v>
      </c>
      <c r="G75" s="7"/>
      <c r="H75" s="274">
        <v>44995</v>
      </c>
      <c r="I75" s="275">
        <v>8</v>
      </c>
      <c r="J75" s="276">
        <v>14792.07</v>
      </c>
      <c r="K75" s="276">
        <f>J75/I75</f>
        <v>1849.00875</v>
      </c>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row>
    <row r="76" spans="2:56" s="215" customFormat="1" ht="15.6">
      <c r="B76" s="272" t="s">
        <v>2494</v>
      </c>
      <c r="C76" s="6" t="s">
        <v>3948</v>
      </c>
      <c r="D76" s="7" t="s">
        <v>2765</v>
      </c>
      <c r="E76" s="7" t="s">
        <v>2766</v>
      </c>
      <c r="F76" s="8" t="s">
        <v>2562</v>
      </c>
      <c r="G76" s="7"/>
      <c r="H76" s="274">
        <v>45012</v>
      </c>
      <c r="I76" s="275">
        <v>8</v>
      </c>
      <c r="J76" s="276">
        <f>9236.16+2892.48</f>
        <v>12128.64</v>
      </c>
      <c r="K76" s="276">
        <f>J76/I76</f>
        <v>1516.08</v>
      </c>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row>
    <row r="77" spans="2:56" s="215" customFormat="1" ht="15.6">
      <c r="B77" s="342" t="s">
        <v>3949</v>
      </c>
      <c r="C77" s="278"/>
      <c r="D77" s="279"/>
      <c r="E77" s="279"/>
      <c r="F77" s="279"/>
      <c r="G77" s="279"/>
      <c r="H77" s="279"/>
      <c r="I77" s="281"/>
      <c r="J77" s="281"/>
      <c r="K77" s="281"/>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row>
    <row r="78" spans="2:56" s="215" customFormat="1" ht="15.6">
      <c r="B78" s="277"/>
      <c r="C78" s="278"/>
      <c r="D78" s="279"/>
      <c r="E78" s="279"/>
      <c r="F78" s="279"/>
      <c r="G78" s="279"/>
      <c r="H78" s="279"/>
      <c r="I78" s="281"/>
      <c r="J78" s="275" t="s">
        <v>2483</v>
      </c>
      <c r="K78" s="276">
        <f>AVERAGE(K74:K76)</f>
        <v>1532.7595833333332</v>
      </c>
      <c r="L78" s="217"/>
    </row>
    <row r="79" spans="2:56" s="215" customFormat="1" ht="15.6">
      <c r="B79" s="277"/>
      <c r="C79" s="278"/>
      <c r="D79" s="279"/>
      <c r="E79" s="279"/>
      <c r="F79" s="279"/>
      <c r="G79" s="279"/>
      <c r="H79" s="279"/>
      <c r="I79" s="281"/>
      <c r="J79" s="275" t="s">
        <v>2484</v>
      </c>
      <c r="K79" s="276">
        <f>MEDIAN(K74:K76)</f>
        <v>1516.08</v>
      </c>
      <c r="L79" s="217"/>
    </row>
    <row r="80" spans="2:56" s="215" customFormat="1" ht="15.6">
      <c r="B80" s="277"/>
      <c r="C80" s="278"/>
      <c r="D80" s="279"/>
      <c r="E80" s="279"/>
      <c r="F80" s="279"/>
      <c r="G80" s="279"/>
      <c r="H80" s="279"/>
      <c r="I80" s="279"/>
      <c r="J80" s="279"/>
      <c r="K80" s="279"/>
    </row>
    <row r="81" spans="2:56" s="215" customFormat="1" ht="15.6">
      <c r="B81" s="267" t="s">
        <v>2593</v>
      </c>
      <c r="C81" s="549" t="s">
        <v>2863</v>
      </c>
      <c r="D81" s="550"/>
      <c r="E81" s="550"/>
      <c r="F81" s="550"/>
      <c r="G81" s="550"/>
      <c r="H81" s="550"/>
      <c r="I81" s="550"/>
      <c r="J81" s="551"/>
      <c r="K81" s="271">
        <f>SMALL(K86:K87,1)</f>
        <v>20029.796666666665</v>
      </c>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row>
    <row r="82" spans="2:56" s="215" customFormat="1" ht="15.6">
      <c r="B82" s="272" t="s">
        <v>2490</v>
      </c>
      <c r="C82" s="6" t="s">
        <v>2767</v>
      </c>
      <c r="D82" s="7" t="s">
        <v>2768</v>
      </c>
      <c r="E82" s="7" t="s">
        <v>2769</v>
      </c>
      <c r="F82" s="8" t="s">
        <v>2562</v>
      </c>
      <c r="G82" s="7"/>
      <c r="H82" s="274">
        <v>45013</v>
      </c>
      <c r="I82" s="275">
        <v>1</v>
      </c>
      <c r="J82" s="276">
        <v>24399.89</v>
      </c>
      <c r="K82" s="276">
        <f>J82/I82</f>
        <v>24399.89</v>
      </c>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row>
    <row r="83" spans="2:56" s="215" customFormat="1" ht="15.6">
      <c r="B83" s="272" t="s">
        <v>2491</v>
      </c>
      <c r="C83" s="6" t="s">
        <v>2764</v>
      </c>
      <c r="D83" s="7" t="s">
        <v>2765</v>
      </c>
      <c r="E83" s="7" t="s">
        <v>2766</v>
      </c>
      <c r="F83" s="8" t="s">
        <v>2562</v>
      </c>
      <c r="G83" s="7"/>
      <c r="H83" s="274">
        <v>45012</v>
      </c>
      <c r="I83" s="275">
        <v>1</v>
      </c>
      <c r="J83" s="276">
        <v>14610.98</v>
      </c>
      <c r="K83" s="276">
        <f>J83/I83</f>
        <v>14610.98</v>
      </c>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row>
    <row r="84" spans="2:56" s="215" customFormat="1" ht="15.6">
      <c r="B84" s="272" t="s">
        <v>2494</v>
      </c>
      <c r="C84" s="6" t="s">
        <v>2770</v>
      </c>
      <c r="D84" s="7" t="s">
        <v>2771</v>
      </c>
      <c r="E84" s="7" t="s">
        <v>2772</v>
      </c>
      <c r="F84" s="8" t="s">
        <v>2562</v>
      </c>
      <c r="G84" s="7"/>
      <c r="H84" s="274">
        <v>45012</v>
      </c>
      <c r="I84" s="275">
        <v>1</v>
      </c>
      <c r="J84" s="276">
        <v>21078.52</v>
      </c>
      <c r="K84" s="276">
        <f>J84/I84</f>
        <v>21078.52</v>
      </c>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row>
    <row r="85" spans="2:56" s="215" customFormat="1" ht="15.6">
      <c r="B85" s="277"/>
      <c r="C85" s="278"/>
      <c r="D85" s="279"/>
      <c r="E85" s="279"/>
      <c r="F85" s="279"/>
      <c r="G85" s="279"/>
      <c r="H85" s="279"/>
      <c r="I85" s="281"/>
      <c r="J85" s="281"/>
      <c r="K85" s="281"/>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row>
    <row r="86" spans="2:56" s="215" customFormat="1" ht="15.6">
      <c r="B86" s="277"/>
      <c r="C86" s="278"/>
      <c r="D86" s="279"/>
      <c r="E86" s="279"/>
      <c r="F86" s="279"/>
      <c r="G86" s="279"/>
      <c r="H86" s="279"/>
      <c r="I86" s="281"/>
      <c r="J86" s="275" t="s">
        <v>2483</v>
      </c>
      <c r="K86" s="276">
        <f>AVERAGE(K82:K84)</f>
        <v>20029.796666666665</v>
      </c>
      <c r="L86" s="217"/>
    </row>
    <row r="87" spans="2:56" s="215" customFormat="1" ht="15.6">
      <c r="B87" s="277"/>
      <c r="C87" s="278"/>
      <c r="D87" s="279"/>
      <c r="E87" s="279"/>
      <c r="F87" s="279"/>
      <c r="G87" s="279"/>
      <c r="H87" s="279"/>
      <c r="I87" s="281"/>
      <c r="J87" s="275" t="s">
        <v>2484</v>
      </c>
      <c r="K87" s="276">
        <f>MEDIAN(K82:K84)</f>
        <v>21078.52</v>
      </c>
      <c r="L87" s="217"/>
    </row>
    <row r="88" spans="2:56" s="215" customFormat="1" ht="15.6">
      <c r="B88" s="277"/>
      <c r="C88" s="278"/>
      <c r="D88" s="279"/>
      <c r="E88" s="279"/>
      <c r="F88" s="279"/>
      <c r="G88" s="279"/>
      <c r="H88" s="279"/>
      <c r="I88" s="279"/>
      <c r="J88" s="279"/>
      <c r="K88" s="279"/>
    </row>
    <row r="89" spans="2:56" s="215" customFormat="1" ht="15.6">
      <c r="B89" s="6" t="s">
        <v>2607</v>
      </c>
      <c r="C89" s="282" t="s">
        <v>3981</v>
      </c>
      <c r="D89" s="283"/>
      <c r="E89" s="7"/>
      <c r="F89" s="7"/>
      <c r="G89" s="284"/>
      <c r="H89" s="285"/>
      <c r="I89" s="286"/>
      <c r="J89" s="271"/>
      <c r="K89" s="271">
        <f>SMALL(K94:K95,1)</f>
        <v>12.047499999999999</v>
      </c>
    </row>
    <row r="90" spans="2:56" s="215" customFormat="1" ht="15.6">
      <c r="B90" s="272" t="s">
        <v>2490</v>
      </c>
      <c r="C90" s="6" t="s">
        <v>3982</v>
      </c>
      <c r="D90" s="7" t="s">
        <v>2715</v>
      </c>
      <c r="E90" s="7" t="s">
        <v>2716</v>
      </c>
      <c r="F90" s="8" t="s">
        <v>2562</v>
      </c>
      <c r="G90" s="326">
        <v>10010318</v>
      </c>
      <c r="H90" s="274">
        <v>45104</v>
      </c>
      <c r="I90" s="287">
        <v>96</v>
      </c>
      <c r="J90" s="276">
        <v>1296</v>
      </c>
      <c r="K90" s="276">
        <f>J90/I90</f>
        <v>13.5</v>
      </c>
      <c r="L90" s="216"/>
    </row>
    <row r="91" spans="2:56" s="215" customFormat="1" ht="15.6">
      <c r="B91" s="272" t="s">
        <v>2491</v>
      </c>
      <c r="C91" s="296" t="s">
        <v>2803</v>
      </c>
      <c r="D91" s="10" t="s">
        <v>2804</v>
      </c>
      <c r="E91" s="10" t="s">
        <v>2805</v>
      </c>
      <c r="F91" s="8" t="s">
        <v>2562</v>
      </c>
      <c r="G91" s="7" t="s">
        <v>3443</v>
      </c>
      <c r="H91" s="274">
        <v>45107</v>
      </c>
      <c r="I91" s="275">
        <v>40</v>
      </c>
      <c r="J91" s="276">
        <v>460.01</v>
      </c>
      <c r="K91" s="276">
        <f t="shared" ref="K91:K92" si="1">J91/I91</f>
        <v>11.500249999999999</v>
      </c>
      <c r="L91" s="216"/>
    </row>
    <row r="92" spans="2:56" s="215" customFormat="1" ht="15.6">
      <c r="B92" s="272" t="s">
        <v>2494</v>
      </c>
      <c r="C92" s="6" t="s">
        <v>2575</v>
      </c>
      <c r="D92" s="7" t="s">
        <v>2492</v>
      </c>
      <c r="E92" s="288" t="s">
        <v>2493</v>
      </c>
      <c r="F92" s="8" t="s">
        <v>2562</v>
      </c>
      <c r="G92" s="7" t="s">
        <v>3983</v>
      </c>
      <c r="H92" s="274">
        <v>45107</v>
      </c>
      <c r="I92" s="275">
        <v>4</v>
      </c>
      <c r="J92" s="276">
        <v>48.19</v>
      </c>
      <c r="K92" s="276">
        <f t="shared" si="1"/>
        <v>12.047499999999999</v>
      </c>
      <c r="L92" s="216"/>
    </row>
    <row r="93" spans="2:56" s="215" customFormat="1" ht="15.6">
      <c r="B93" s="289"/>
      <c r="C93" s="278"/>
      <c r="D93" s="279"/>
      <c r="E93" s="290"/>
      <c r="F93" s="279"/>
      <c r="G93" s="279"/>
      <c r="H93" s="279"/>
      <c r="I93" s="281"/>
      <c r="J93" s="281"/>
      <c r="K93" s="281"/>
      <c r="L93" s="216"/>
    </row>
    <row r="94" spans="2:56" s="215" customFormat="1" ht="15.6">
      <c r="B94" s="289"/>
      <c r="C94" s="278"/>
      <c r="D94" s="279"/>
      <c r="E94" s="291"/>
      <c r="F94" s="279"/>
      <c r="G94" s="279"/>
      <c r="H94" s="279"/>
      <c r="I94" s="281"/>
      <c r="J94" s="275" t="s">
        <v>2483</v>
      </c>
      <c r="K94" s="276">
        <f>AVERAGE(K90:K92)</f>
        <v>12.34925</v>
      </c>
      <c r="L94" s="217"/>
    </row>
    <row r="95" spans="2:56" s="215" customFormat="1" ht="15.6">
      <c r="B95" s="289"/>
      <c r="C95" s="278"/>
      <c r="D95" s="279"/>
      <c r="E95" s="279"/>
      <c r="F95" s="279"/>
      <c r="G95" s="279"/>
      <c r="H95" s="279"/>
      <c r="I95" s="281"/>
      <c r="J95" s="275" t="s">
        <v>2484</v>
      </c>
      <c r="K95" s="276">
        <f>MEDIAN(K90:K92)</f>
        <v>12.047499999999999</v>
      </c>
      <c r="L95" s="217"/>
    </row>
    <row r="96" spans="2:56" s="215" customFormat="1" ht="15.6">
      <c r="B96" s="289"/>
      <c r="C96" s="278"/>
      <c r="D96" s="279"/>
      <c r="E96" s="279"/>
      <c r="F96" s="279"/>
      <c r="G96" s="279"/>
      <c r="H96" s="279"/>
      <c r="I96" s="281"/>
      <c r="J96" s="292"/>
      <c r="K96" s="293"/>
    </row>
    <row r="97" spans="2:16" s="215" customFormat="1" ht="15.6">
      <c r="B97" s="6" t="s">
        <v>2609</v>
      </c>
      <c r="C97" s="282" t="s">
        <v>3923</v>
      </c>
      <c r="D97" s="283"/>
      <c r="E97" s="7"/>
      <c r="F97" s="7"/>
      <c r="G97" s="284"/>
      <c r="H97" s="285"/>
      <c r="I97" s="286"/>
      <c r="J97" s="271"/>
      <c r="K97" s="271">
        <f>SMALL(K102:K103,1)</f>
        <v>40.075555555555553</v>
      </c>
    </row>
    <row r="98" spans="2:16" s="215" customFormat="1" ht="15.6">
      <c r="B98" s="272" t="s">
        <v>2490</v>
      </c>
      <c r="C98" s="6" t="s">
        <v>3919</v>
      </c>
      <c r="D98" s="7" t="s">
        <v>3920</v>
      </c>
      <c r="E98" s="7" t="s">
        <v>3921</v>
      </c>
      <c r="F98" s="8" t="s">
        <v>2114</v>
      </c>
      <c r="G98" s="7">
        <v>15244</v>
      </c>
      <c r="H98" s="274">
        <v>45050</v>
      </c>
      <c r="I98" s="287">
        <f>28*3</f>
        <v>84</v>
      </c>
      <c r="J98" s="276">
        <v>3368.4</v>
      </c>
      <c r="K98" s="276">
        <f>J98/I98</f>
        <v>40.1</v>
      </c>
      <c r="L98" s="216"/>
    </row>
    <row r="99" spans="2:16" s="215" customFormat="1" ht="15.6">
      <c r="B99" s="272" t="s">
        <v>2491</v>
      </c>
      <c r="C99" s="6" t="s">
        <v>2565</v>
      </c>
      <c r="D99" s="7" t="s">
        <v>2566</v>
      </c>
      <c r="E99" s="288" t="s">
        <v>2567</v>
      </c>
      <c r="F99" s="8" t="s">
        <v>2114</v>
      </c>
      <c r="G99" s="7">
        <v>20021150</v>
      </c>
      <c r="H99" s="274">
        <v>45050</v>
      </c>
      <c r="I99" s="275">
        <v>3</v>
      </c>
      <c r="J99" s="276">
        <v>129.49</v>
      </c>
      <c r="K99" s="276">
        <f>J99/I99</f>
        <v>43.163333333333334</v>
      </c>
      <c r="L99" s="216"/>
      <c r="N99" s="218"/>
      <c r="O99" s="218">
        <v>45040</v>
      </c>
      <c r="P99" s="215">
        <f>O99-N99</f>
        <v>45040</v>
      </c>
    </row>
    <row r="100" spans="2:16" s="215" customFormat="1" ht="15.6">
      <c r="B100" s="272" t="s">
        <v>2494</v>
      </c>
      <c r="C100" s="6" t="s">
        <v>3984</v>
      </c>
      <c r="D100" s="10" t="s">
        <v>3985</v>
      </c>
      <c r="E100" s="288" t="s">
        <v>3986</v>
      </c>
      <c r="F100" s="8" t="s">
        <v>2114</v>
      </c>
      <c r="G100" s="7">
        <v>1958</v>
      </c>
      <c r="H100" s="274">
        <v>45110</v>
      </c>
      <c r="I100" s="275">
        <v>3</v>
      </c>
      <c r="J100" s="276">
        <v>110.89</v>
      </c>
      <c r="K100" s="276">
        <f>J100/I100</f>
        <v>36.963333333333331</v>
      </c>
      <c r="L100" s="216"/>
    </row>
    <row r="101" spans="2:16" s="215" customFormat="1" ht="15.6">
      <c r="B101" s="289"/>
      <c r="C101" s="278"/>
      <c r="D101" s="279"/>
      <c r="E101" s="290"/>
      <c r="F101" s="279"/>
      <c r="G101" s="279"/>
      <c r="H101" s="279"/>
      <c r="I101" s="281"/>
      <c r="J101" s="281"/>
      <c r="K101" s="281"/>
      <c r="L101" s="216"/>
    </row>
    <row r="102" spans="2:16" s="215" customFormat="1" ht="15.6">
      <c r="B102" s="289"/>
      <c r="C102" s="278"/>
      <c r="D102" s="279"/>
      <c r="E102" s="291"/>
      <c r="F102" s="279"/>
      <c r="G102" s="279"/>
      <c r="H102" s="279"/>
      <c r="I102" s="281"/>
      <c r="J102" s="275" t="s">
        <v>2483</v>
      </c>
      <c r="K102" s="276">
        <f>AVERAGE(K98:K100)</f>
        <v>40.075555555555553</v>
      </c>
      <c r="L102" s="217"/>
    </row>
    <row r="103" spans="2:16" s="215" customFormat="1" ht="15.6">
      <c r="B103" s="289"/>
      <c r="C103" s="278"/>
      <c r="D103" s="279"/>
      <c r="E103" s="279"/>
      <c r="F103" s="279"/>
      <c r="G103" s="279"/>
      <c r="H103" s="279"/>
      <c r="I103" s="281"/>
      <c r="J103" s="275" t="s">
        <v>2484</v>
      </c>
      <c r="K103" s="276">
        <f>MEDIAN(K98:K100)</f>
        <v>40.1</v>
      </c>
      <c r="L103" s="217"/>
    </row>
    <row r="104" spans="2:16" s="215" customFormat="1" ht="15.6">
      <c r="B104" s="289"/>
      <c r="C104" s="278"/>
      <c r="D104" s="279"/>
      <c r="E104" s="279"/>
      <c r="F104" s="279"/>
      <c r="G104" s="279"/>
      <c r="H104" s="279"/>
      <c r="I104" s="281"/>
      <c r="J104" s="292"/>
      <c r="K104" s="293"/>
    </row>
    <row r="105" spans="2:16" s="215" customFormat="1" ht="15.6">
      <c r="B105" s="6" t="s">
        <v>2610</v>
      </c>
      <c r="C105" s="282" t="s">
        <v>2573</v>
      </c>
      <c r="D105" s="283"/>
      <c r="E105" s="7"/>
      <c r="F105" s="7"/>
      <c r="G105" s="284"/>
      <c r="H105" s="285"/>
      <c r="I105" s="286"/>
      <c r="J105" s="271"/>
      <c r="K105" s="271">
        <f>SMALL(K110:K111,1)</f>
        <v>5.54</v>
      </c>
    </row>
    <row r="106" spans="2:16" s="215" customFormat="1" ht="15.6">
      <c r="B106" s="272" t="s">
        <v>2490</v>
      </c>
      <c r="C106" s="6" t="s">
        <v>3919</v>
      </c>
      <c r="D106" s="7" t="s">
        <v>3920</v>
      </c>
      <c r="E106" s="7" t="s">
        <v>3921</v>
      </c>
      <c r="F106" s="8" t="s">
        <v>2723</v>
      </c>
      <c r="G106" s="7">
        <v>15048</v>
      </c>
      <c r="H106" s="274">
        <v>45050</v>
      </c>
      <c r="I106" s="287">
        <v>67</v>
      </c>
      <c r="J106" s="276">
        <v>378.55</v>
      </c>
      <c r="K106" s="276">
        <f>J106/I106</f>
        <v>5.65</v>
      </c>
      <c r="L106" s="216"/>
    </row>
    <row r="107" spans="2:16" s="215" customFormat="1" ht="15.6">
      <c r="B107" s="272" t="s">
        <v>2491</v>
      </c>
      <c r="C107" s="6" t="s">
        <v>2563</v>
      </c>
      <c r="D107" s="7" t="s">
        <v>2561</v>
      </c>
      <c r="E107" s="288" t="s">
        <v>3924</v>
      </c>
      <c r="F107" s="8" t="s">
        <v>2723</v>
      </c>
      <c r="G107" s="7" t="s">
        <v>2574</v>
      </c>
      <c r="H107" s="274">
        <v>45051</v>
      </c>
      <c r="I107" s="275">
        <v>67</v>
      </c>
      <c r="J107" s="276">
        <v>365.82</v>
      </c>
      <c r="K107" s="276">
        <f>J107/I107</f>
        <v>5.46</v>
      </c>
      <c r="L107" s="216"/>
      <c r="N107" s="218"/>
      <c r="O107" s="218">
        <v>45040</v>
      </c>
      <c r="P107" s="215">
        <f>O107-N107</f>
        <v>45040</v>
      </c>
    </row>
    <row r="108" spans="2:16" s="215" customFormat="1" ht="15.6">
      <c r="B108" s="272" t="s">
        <v>2494</v>
      </c>
      <c r="C108" s="6" t="s">
        <v>3984</v>
      </c>
      <c r="D108" s="10" t="s">
        <v>3985</v>
      </c>
      <c r="E108" s="288" t="s">
        <v>3986</v>
      </c>
      <c r="F108" s="8" t="s">
        <v>2723</v>
      </c>
      <c r="G108" s="7">
        <v>2349</v>
      </c>
      <c r="H108" s="274">
        <v>45110</v>
      </c>
      <c r="I108" s="275">
        <v>218</v>
      </c>
      <c r="J108" s="276">
        <v>1207.72</v>
      </c>
      <c r="K108" s="276">
        <f>J108/I108</f>
        <v>5.54</v>
      </c>
      <c r="L108" s="216"/>
    </row>
    <row r="109" spans="2:16" s="215" customFormat="1" ht="15.6">
      <c r="B109" s="289"/>
      <c r="C109" s="278"/>
      <c r="D109" s="279"/>
      <c r="E109" s="290"/>
      <c r="F109" s="279"/>
      <c r="G109" s="279"/>
      <c r="H109" s="279"/>
      <c r="I109" s="281"/>
      <c r="J109" s="281"/>
      <c r="K109" s="281"/>
      <c r="L109" s="216"/>
    </row>
    <row r="110" spans="2:16" s="215" customFormat="1" ht="15.6">
      <c r="B110" s="289"/>
      <c r="C110" s="278"/>
      <c r="D110" s="279"/>
      <c r="E110" s="291"/>
      <c r="F110" s="279"/>
      <c r="G110" s="279"/>
      <c r="H110" s="279"/>
      <c r="I110" s="281"/>
      <c r="J110" s="275" t="s">
        <v>2483</v>
      </c>
      <c r="K110" s="276">
        <f>AVERAGE(K106:K108)</f>
        <v>5.55</v>
      </c>
      <c r="L110" s="217"/>
    </row>
    <row r="111" spans="2:16" s="215" customFormat="1" ht="15.6">
      <c r="B111" s="289"/>
      <c r="C111" s="278"/>
      <c r="D111" s="279"/>
      <c r="E111" s="279"/>
      <c r="F111" s="279"/>
      <c r="G111" s="279"/>
      <c r="H111" s="279"/>
      <c r="I111" s="281"/>
      <c r="J111" s="275" t="s">
        <v>2484</v>
      </c>
      <c r="K111" s="276">
        <f>MEDIAN(K106:K108)</f>
        <v>5.54</v>
      </c>
      <c r="L111" s="217"/>
    </row>
    <row r="112" spans="2:16" s="215" customFormat="1" ht="15.6">
      <c r="B112" s="289"/>
      <c r="C112" s="278"/>
      <c r="D112" s="279"/>
      <c r="E112" s="279"/>
      <c r="F112" s="279"/>
      <c r="G112" s="279"/>
      <c r="H112" s="279"/>
      <c r="I112" s="281"/>
      <c r="J112" s="292"/>
      <c r="K112" s="293"/>
    </row>
    <row r="113" spans="2:16" s="215" customFormat="1" ht="15.6">
      <c r="B113" s="6" t="s">
        <v>2611</v>
      </c>
      <c r="C113" s="282" t="s">
        <v>2546</v>
      </c>
      <c r="D113" s="283"/>
      <c r="E113" s="7"/>
      <c r="F113" s="7"/>
      <c r="G113" s="284"/>
      <c r="H113" s="285"/>
      <c r="I113" s="286"/>
      <c r="J113" s="271"/>
      <c r="K113" s="271">
        <f>SMALL(K119:K120,1)</f>
        <v>48.769999999999996</v>
      </c>
    </row>
    <row r="114" spans="2:16" s="215" customFormat="1" ht="15.6">
      <c r="B114" s="272" t="s">
        <v>2490</v>
      </c>
      <c r="C114" s="6" t="s">
        <v>3919</v>
      </c>
      <c r="D114" s="7" t="s">
        <v>3920</v>
      </c>
      <c r="E114" s="7" t="s">
        <v>3921</v>
      </c>
      <c r="F114" s="8" t="s">
        <v>2723</v>
      </c>
      <c r="G114" s="7">
        <v>15051</v>
      </c>
      <c r="H114" s="274">
        <v>45050</v>
      </c>
      <c r="I114" s="287">
        <v>2</v>
      </c>
      <c r="J114" s="276">
        <v>91.7</v>
      </c>
      <c r="K114" s="276">
        <f>J114/I114</f>
        <v>45.85</v>
      </c>
      <c r="L114" s="216"/>
    </row>
    <row r="115" spans="2:16" s="215" customFormat="1" ht="15.6">
      <c r="B115" s="272" t="s">
        <v>2491</v>
      </c>
      <c r="C115" s="6" t="s">
        <v>3925</v>
      </c>
      <c r="D115" s="7"/>
      <c r="E115" s="288"/>
      <c r="F115" s="8" t="s">
        <v>2723</v>
      </c>
      <c r="G115" s="7">
        <v>12137</v>
      </c>
      <c r="H115" s="274">
        <v>44958</v>
      </c>
      <c r="I115" s="275">
        <v>1</v>
      </c>
      <c r="J115" s="276">
        <v>54.57</v>
      </c>
      <c r="K115" s="276">
        <f>J115/I115</f>
        <v>54.57</v>
      </c>
      <c r="L115" s="216"/>
      <c r="N115" s="218"/>
      <c r="O115" s="218">
        <v>45040</v>
      </c>
      <c r="P115" s="215">
        <f>O115-N115</f>
        <v>45040</v>
      </c>
    </row>
    <row r="116" spans="2:16" s="215" customFormat="1" ht="15.6">
      <c r="B116" s="272" t="s">
        <v>2494</v>
      </c>
      <c r="C116" s="6" t="s">
        <v>3926</v>
      </c>
      <c r="D116" s="7" t="s">
        <v>2580</v>
      </c>
      <c r="E116" s="288" t="s">
        <v>2581</v>
      </c>
      <c r="F116" s="8" t="s">
        <v>2723</v>
      </c>
      <c r="G116" s="7">
        <v>936824</v>
      </c>
      <c r="H116" s="274">
        <v>45050</v>
      </c>
      <c r="I116" s="275">
        <v>1</v>
      </c>
      <c r="J116" s="276">
        <v>44.35</v>
      </c>
      <c r="K116" s="276">
        <f>J116/I116</f>
        <v>44.35</v>
      </c>
      <c r="L116" s="216"/>
    </row>
    <row r="117" spans="2:16" s="215" customFormat="1" ht="15.6">
      <c r="B117" s="272" t="s">
        <v>2608</v>
      </c>
      <c r="C117" s="6" t="s">
        <v>2563</v>
      </c>
      <c r="D117" s="7" t="s">
        <v>2561</v>
      </c>
      <c r="E117" s="288" t="s">
        <v>3924</v>
      </c>
      <c r="F117" s="8" t="s">
        <v>2723</v>
      </c>
      <c r="G117" s="7" t="s">
        <v>3927</v>
      </c>
      <c r="H117" s="274">
        <v>45051</v>
      </c>
      <c r="I117" s="275">
        <v>2</v>
      </c>
      <c r="J117" s="276">
        <v>103.38</v>
      </c>
      <c r="K117" s="276">
        <f>J117/I117</f>
        <v>51.69</v>
      </c>
      <c r="L117" s="216"/>
    </row>
    <row r="118" spans="2:16" s="215" customFormat="1" ht="15.6">
      <c r="B118" s="289"/>
      <c r="C118" s="278"/>
      <c r="D118" s="279"/>
      <c r="E118" s="290"/>
      <c r="F118" s="279"/>
      <c r="G118" s="279"/>
      <c r="H118" s="279"/>
      <c r="I118" s="281"/>
      <c r="J118" s="281"/>
      <c r="K118" s="281"/>
      <c r="L118" s="216"/>
    </row>
    <row r="119" spans="2:16" s="215" customFormat="1" ht="15.6">
      <c r="B119" s="289"/>
      <c r="C119" s="278"/>
      <c r="D119" s="279"/>
      <c r="E119" s="291"/>
      <c r="F119" s="279"/>
      <c r="G119" s="279"/>
      <c r="H119" s="279"/>
      <c r="I119" s="281"/>
      <c r="J119" s="275" t="s">
        <v>2483</v>
      </c>
      <c r="K119" s="276">
        <f>AVERAGE(K114:K117)</f>
        <v>49.115000000000002</v>
      </c>
      <c r="L119" s="217"/>
    </row>
    <row r="120" spans="2:16" s="215" customFormat="1" ht="15.6">
      <c r="B120" s="289"/>
      <c r="C120" s="278"/>
      <c r="D120" s="279"/>
      <c r="E120" s="279"/>
      <c r="F120" s="279"/>
      <c r="G120" s="279"/>
      <c r="H120" s="279"/>
      <c r="I120" s="281"/>
      <c r="J120" s="275" t="s">
        <v>2484</v>
      </c>
      <c r="K120" s="276">
        <f>MEDIAN(K114:K117)</f>
        <v>48.769999999999996</v>
      </c>
      <c r="L120" s="217"/>
    </row>
    <row r="121" spans="2:16" s="215" customFormat="1" ht="15.6">
      <c r="B121" s="289"/>
      <c r="C121" s="278"/>
      <c r="D121" s="279"/>
      <c r="E121" s="279"/>
      <c r="F121" s="279"/>
      <c r="G121" s="279"/>
      <c r="H121" s="279"/>
      <c r="I121" s="281"/>
      <c r="J121" s="292"/>
      <c r="K121" s="293"/>
    </row>
    <row r="122" spans="2:16" s="215" customFormat="1" ht="15.6">
      <c r="B122" s="6" t="s">
        <v>2612</v>
      </c>
      <c r="C122" s="282" t="s">
        <v>2551</v>
      </c>
      <c r="D122" s="283"/>
      <c r="E122" s="7"/>
      <c r="F122" s="7"/>
      <c r="G122" s="284"/>
      <c r="H122" s="285"/>
      <c r="I122" s="286"/>
      <c r="J122" s="271"/>
      <c r="K122" s="271">
        <f>SMALL(K127:K128,1)</f>
        <v>1.93</v>
      </c>
    </row>
    <row r="123" spans="2:16" s="215" customFormat="1" ht="15.6">
      <c r="B123" s="272" t="s">
        <v>2490</v>
      </c>
      <c r="C123" s="6" t="s">
        <v>3928</v>
      </c>
      <c r="D123" s="7"/>
      <c r="E123" s="288"/>
      <c r="F123" s="8" t="s">
        <v>2723</v>
      </c>
      <c r="G123" s="7"/>
      <c r="H123" s="274">
        <v>44652</v>
      </c>
      <c r="I123" s="287">
        <v>1</v>
      </c>
      <c r="J123" s="276">
        <v>2</v>
      </c>
      <c r="K123" s="276">
        <f>J123/I123</f>
        <v>2</v>
      </c>
      <c r="L123" s="216"/>
    </row>
    <row r="124" spans="2:16" s="215" customFormat="1" ht="15.6">
      <c r="B124" s="272" t="s">
        <v>2491</v>
      </c>
      <c r="C124" s="6" t="s">
        <v>3926</v>
      </c>
      <c r="D124" s="7" t="s">
        <v>2580</v>
      </c>
      <c r="E124" s="288" t="s">
        <v>2581</v>
      </c>
      <c r="F124" s="8" t="s">
        <v>2723</v>
      </c>
      <c r="G124" s="7">
        <v>2739</v>
      </c>
      <c r="H124" s="274">
        <v>45050</v>
      </c>
      <c r="I124" s="275">
        <v>1</v>
      </c>
      <c r="J124" s="276">
        <v>1.82</v>
      </c>
      <c r="K124" s="276">
        <f>J124/I124</f>
        <v>1.82</v>
      </c>
      <c r="L124" s="216"/>
      <c r="N124" s="218"/>
      <c r="O124" s="218">
        <v>45040</v>
      </c>
      <c r="P124" s="215">
        <f>O124-N124</f>
        <v>45040</v>
      </c>
    </row>
    <row r="125" spans="2:16" s="215" customFormat="1" ht="15.6">
      <c r="B125" s="272" t="s">
        <v>2494</v>
      </c>
      <c r="C125" s="6" t="s">
        <v>2563</v>
      </c>
      <c r="D125" s="7" t="s">
        <v>2561</v>
      </c>
      <c r="E125" s="288" t="s">
        <v>3924</v>
      </c>
      <c r="F125" s="8" t="s">
        <v>2723</v>
      </c>
      <c r="G125" s="7" t="s">
        <v>3929</v>
      </c>
      <c r="H125" s="274">
        <v>45051</v>
      </c>
      <c r="I125" s="275">
        <v>84</v>
      </c>
      <c r="J125" s="276">
        <v>165.48</v>
      </c>
      <c r="K125" s="276">
        <f>J125/I125</f>
        <v>1.97</v>
      </c>
      <c r="L125" s="216"/>
    </row>
    <row r="126" spans="2:16" s="215" customFormat="1" ht="15.6">
      <c r="B126" s="289"/>
      <c r="C126" s="278"/>
      <c r="D126" s="279"/>
      <c r="E126" s="290"/>
      <c r="F126" s="279"/>
      <c r="G126" s="279"/>
      <c r="H126" s="279"/>
      <c r="I126" s="281"/>
      <c r="J126" s="281"/>
      <c r="K126" s="281"/>
      <c r="L126" s="216"/>
    </row>
    <row r="127" spans="2:16" s="215" customFormat="1" ht="15.6">
      <c r="B127" s="289"/>
      <c r="C127" s="278"/>
      <c r="D127" s="279"/>
      <c r="E127" s="291"/>
      <c r="F127" s="279"/>
      <c r="G127" s="279"/>
      <c r="H127" s="279"/>
      <c r="I127" s="281"/>
      <c r="J127" s="275" t="s">
        <v>2483</v>
      </c>
      <c r="K127" s="276">
        <f>AVERAGE(K123:K125)</f>
        <v>1.93</v>
      </c>
      <c r="L127" s="217"/>
    </row>
    <row r="128" spans="2:16" s="215" customFormat="1" ht="15.6">
      <c r="B128" s="289"/>
      <c r="C128" s="278"/>
      <c r="D128" s="279"/>
      <c r="E128" s="279"/>
      <c r="F128" s="279"/>
      <c r="G128" s="279"/>
      <c r="H128" s="279"/>
      <c r="I128" s="281"/>
      <c r="J128" s="275" t="s">
        <v>2484</v>
      </c>
      <c r="K128" s="276">
        <f>MEDIAN(K123:K125)</f>
        <v>1.97</v>
      </c>
      <c r="L128" s="217"/>
    </row>
    <row r="129" spans="2:21" s="215" customFormat="1" ht="15.6">
      <c r="B129" s="289"/>
      <c r="C129" s="278"/>
      <c r="D129" s="279"/>
      <c r="E129" s="279"/>
      <c r="F129" s="279"/>
      <c r="G129" s="279"/>
      <c r="H129" s="279"/>
      <c r="I129" s="281"/>
      <c r="J129" s="292"/>
      <c r="K129" s="293"/>
    </row>
    <row r="130" spans="2:21" s="215" customFormat="1" ht="22.95" customHeight="1">
      <c r="B130" s="338" t="s">
        <v>2613</v>
      </c>
      <c r="C130" s="282" t="s">
        <v>3930</v>
      </c>
      <c r="D130" s="337"/>
      <c r="E130" s="10"/>
      <c r="F130" s="10"/>
      <c r="G130" s="284"/>
      <c r="H130" s="285"/>
      <c r="I130" s="286"/>
      <c r="J130" s="271"/>
      <c r="K130" s="271">
        <f>SMALL(K135:K136,1)</f>
        <v>149.9</v>
      </c>
    </row>
    <row r="131" spans="2:21" s="215" customFormat="1" ht="15.6">
      <c r="B131" s="338" t="s">
        <v>2490</v>
      </c>
      <c r="C131" s="296" t="s">
        <v>3931</v>
      </c>
      <c r="D131" s="10" t="s">
        <v>3932</v>
      </c>
      <c r="E131" s="339" t="s">
        <v>3933</v>
      </c>
      <c r="F131" s="8" t="s">
        <v>3056</v>
      </c>
      <c r="G131" s="294" t="s">
        <v>3934</v>
      </c>
      <c r="H131" s="272" t="s">
        <v>3935</v>
      </c>
      <c r="I131" s="275">
        <v>117</v>
      </c>
      <c r="J131" s="340">
        <v>17538.3</v>
      </c>
      <c r="K131" s="340">
        <f>J131/I131</f>
        <v>149.9</v>
      </c>
      <c r="L131" s="216"/>
    </row>
    <row r="132" spans="2:21" s="215" customFormat="1" ht="15.6">
      <c r="B132" s="272" t="s">
        <v>2491</v>
      </c>
      <c r="C132" s="323" t="s">
        <v>3936</v>
      </c>
      <c r="D132" s="7" t="s">
        <v>3937</v>
      </c>
      <c r="E132" s="341" t="s">
        <v>3938</v>
      </c>
      <c r="F132" s="8" t="s">
        <v>3056</v>
      </c>
      <c r="G132" s="7" t="s">
        <v>3443</v>
      </c>
      <c r="H132" s="272" t="s">
        <v>3939</v>
      </c>
      <c r="I132" s="275">
        <v>117</v>
      </c>
      <c r="J132" s="340">
        <v>18051.09</v>
      </c>
      <c r="K132" s="340">
        <f>J132/I132</f>
        <v>154.28282051282051</v>
      </c>
      <c r="L132" s="216"/>
      <c r="N132" s="218"/>
      <c r="O132" s="218">
        <v>45040</v>
      </c>
      <c r="P132" s="215">
        <f>O132-N132</f>
        <v>45040</v>
      </c>
      <c r="S132" s="218">
        <v>44833</v>
      </c>
      <c r="T132" s="218">
        <f ca="1">TODAY()</f>
        <v>45120</v>
      </c>
      <c r="U132" s="215">
        <f ca="1">(T132-S132)/30</f>
        <v>9.5666666666666664</v>
      </c>
    </row>
    <row r="133" spans="2:21" s="215" customFormat="1" ht="15.6">
      <c r="B133" s="272" t="s">
        <v>2494</v>
      </c>
      <c r="C133" s="298" t="s">
        <v>3940</v>
      </c>
      <c r="D133" s="7" t="s">
        <v>3941</v>
      </c>
      <c r="E133" s="10" t="s">
        <v>3942</v>
      </c>
      <c r="F133" s="8" t="s">
        <v>3056</v>
      </c>
      <c r="G133" s="7">
        <v>4044</v>
      </c>
      <c r="H133" s="272" t="s">
        <v>3943</v>
      </c>
      <c r="I133" s="275">
        <v>117</v>
      </c>
      <c r="J133" s="340">
        <v>17449.439999999999</v>
      </c>
      <c r="K133" s="340">
        <f>J133/I133</f>
        <v>149.14051282051281</v>
      </c>
      <c r="L133" s="216"/>
    </row>
    <row r="134" spans="2:21" s="215" customFormat="1" ht="15.6">
      <c r="B134" s="552" t="s">
        <v>3944</v>
      </c>
      <c r="C134" s="552"/>
      <c r="D134" s="552"/>
      <c r="E134" s="552"/>
      <c r="F134" s="552"/>
      <c r="G134" s="552"/>
      <c r="H134" s="552"/>
      <c r="I134" s="281"/>
      <c r="J134" s="281"/>
      <c r="K134" s="281"/>
      <c r="L134" s="216"/>
    </row>
    <row r="135" spans="2:21" s="215" customFormat="1" ht="15.6">
      <c r="B135" s="553" t="s">
        <v>3945</v>
      </c>
      <c r="C135" s="553"/>
      <c r="D135" s="553"/>
      <c r="E135" s="553"/>
      <c r="F135" s="553"/>
      <c r="G135" s="553"/>
      <c r="H135" s="553"/>
      <c r="I135" s="281"/>
      <c r="J135" s="275" t="s">
        <v>2483</v>
      </c>
      <c r="K135" s="276">
        <f>AVERAGE(K131:K133)</f>
        <v>151.10777777777778</v>
      </c>
      <c r="L135" s="217"/>
    </row>
    <row r="136" spans="2:21" s="215" customFormat="1" ht="15.6">
      <c r="B136" s="289"/>
      <c r="C136" s="299"/>
      <c r="D136" s="279"/>
      <c r="E136" s="279"/>
      <c r="F136" s="279"/>
      <c r="G136" s="279"/>
      <c r="H136" s="279"/>
      <c r="I136" s="281"/>
      <c r="J136" s="275" t="s">
        <v>2484</v>
      </c>
      <c r="K136" s="276">
        <f>MEDIAN(K131:K133)</f>
        <v>149.9</v>
      </c>
      <c r="L136" s="217"/>
    </row>
    <row r="137" spans="2:21" s="215" customFormat="1" ht="15.6">
      <c r="B137" s="289"/>
      <c r="C137" s="278"/>
      <c r="D137" s="279"/>
      <c r="E137" s="279"/>
      <c r="F137" s="279"/>
      <c r="G137" s="279"/>
      <c r="H137" s="279"/>
      <c r="I137" s="281"/>
      <c r="J137" s="292"/>
      <c r="K137" s="293"/>
    </row>
    <row r="138" spans="2:21" s="215" customFormat="1" ht="15.6">
      <c r="B138" s="6" t="s">
        <v>2675</v>
      </c>
      <c r="C138" s="282" t="s">
        <v>2586</v>
      </c>
      <c r="D138" s="283"/>
      <c r="E138" s="7"/>
      <c r="F138" s="7"/>
      <c r="G138" s="284"/>
      <c r="H138" s="285"/>
      <c r="I138" s="286"/>
      <c r="J138" s="271"/>
      <c r="K138" s="271">
        <f>SMALL(K143:K144,1)</f>
        <v>258.32</v>
      </c>
    </row>
    <row r="139" spans="2:21" s="215" customFormat="1" ht="15.6">
      <c r="B139" s="272" t="s">
        <v>2490</v>
      </c>
      <c r="C139" s="6" t="s">
        <v>2495</v>
      </c>
      <c r="D139" s="7" t="s">
        <v>2496</v>
      </c>
      <c r="E139" s="7" t="s">
        <v>2585</v>
      </c>
      <c r="F139" s="8" t="s">
        <v>2562</v>
      </c>
      <c r="G139" s="7"/>
      <c r="H139" s="274">
        <v>44950</v>
      </c>
      <c r="I139" s="287">
        <v>1</v>
      </c>
      <c r="J139" s="276">
        <v>251.12</v>
      </c>
      <c r="K139" s="276">
        <f>J139/I139</f>
        <v>251.12</v>
      </c>
      <c r="L139" s="216"/>
    </row>
    <row r="140" spans="2:21" s="215" customFormat="1" ht="15.6">
      <c r="B140" s="272" t="s">
        <v>2491</v>
      </c>
      <c r="C140" s="6" t="s">
        <v>2589</v>
      </c>
      <c r="D140" s="7" t="s">
        <v>2587</v>
      </c>
      <c r="E140" s="288" t="s">
        <v>2588</v>
      </c>
      <c r="F140" s="8" t="s">
        <v>2562</v>
      </c>
      <c r="G140" s="7"/>
      <c r="H140" s="274">
        <v>44971</v>
      </c>
      <c r="I140" s="275">
        <v>1</v>
      </c>
      <c r="J140" s="276">
        <v>258.32</v>
      </c>
      <c r="K140" s="276">
        <f>J140/I140</f>
        <v>258.32</v>
      </c>
      <c r="L140" s="216"/>
      <c r="N140" s="218"/>
      <c r="O140" s="218"/>
    </row>
    <row r="141" spans="2:21" s="215" customFormat="1" ht="15.6">
      <c r="B141" s="272" t="s">
        <v>2494</v>
      </c>
      <c r="C141" s="6" t="s">
        <v>3442</v>
      </c>
      <c r="D141" s="7" t="s">
        <v>3443</v>
      </c>
      <c r="E141" s="288" t="s">
        <v>3443</v>
      </c>
      <c r="F141" s="8" t="s">
        <v>2562</v>
      </c>
      <c r="G141" s="7">
        <v>557</v>
      </c>
      <c r="H141" s="272" t="s">
        <v>3963</v>
      </c>
      <c r="I141" s="275">
        <v>1</v>
      </c>
      <c r="J141" s="276">
        <v>278.69</v>
      </c>
      <c r="K141" s="276">
        <f>J141/I141</f>
        <v>278.69</v>
      </c>
      <c r="L141" s="216"/>
    </row>
    <row r="142" spans="2:21" s="215" customFormat="1" ht="15.6">
      <c r="B142" s="552" t="s">
        <v>3946</v>
      </c>
      <c r="C142" s="552"/>
      <c r="D142" s="552"/>
      <c r="E142" s="552"/>
      <c r="F142" s="552"/>
      <c r="G142" s="552"/>
      <c r="H142" s="552"/>
      <c r="I142" s="281"/>
      <c r="J142" s="281"/>
      <c r="K142" s="281"/>
      <c r="L142" s="216"/>
    </row>
    <row r="143" spans="2:21" s="215" customFormat="1" ht="15.6">
      <c r="B143" s="342" t="s">
        <v>3947</v>
      </c>
      <c r="C143" s="350"/>
      <c r="D143" s="279"/>
      <c r="E143" s="291"/>
      <c r="F143" s="279"/>
      <c r="G143" s="279"/>
      <c r="H143" s="279"/>
      <c r="I143" s="281"/>
      <c r="J143" s="275" t="s">
        <v>2483</v>
      </c>
      <c r="K143" s="276">
        <f>AVERAGE(K139:K141)</f>
        <v>262.70999999999998</v>
      </c>
      <c r="L143" s="217"/>
    </row>
    <row r="144" spans="2:21" s="215" customFormat="1" ht="15.6">
      <c r="B144" s="342"/>
      <c r="C144" s="350"/>
      <c r="D144" s="279"/>
      <c r="E144" s="279"/>
      <c r="F144" s="279"/>
      <c r="G144" s="279"/>
      <c r="H144" s="279"/>
      <c r="I144" s="281"/>
      <c r="J144" s="275" t="s">
        <v>2484</v>
      </c>
      <c r="K144" s="276">
        <f>MEDIAN(K139:K141)</f>
        <v>258.32</v>
      </c>
      <c r="L144" s="217"/>
    </row>
    <row r="145" spans="2:16" s="215" customFormat="1" ht="15.6">
      <c r="B145" s="289"/>
      <c r="C145" s="278"/>
      <c r="D145" s="279"/>
      <c r="E145" s="279"/>
      <c r="F145" s="279"/>
      <c r="G145" s="279"/>
      <c r="H145" s="279"/>
      <c r="I145" s="281"/>
      <c r="J145" s="292"/>
      <c r="K145" s="293"/>
    </row>
    <row r="146" spans="2:16" s="215" customFormat="1" ht="15.6">
      <c r="B146" s="6" t="s">
        <v>2676</v>
      </c>
      <c r="C146" s="282" t="s">
        <v>2500</v>
      </c>
      <c r="D146" s="283"/>
      <c r="E146" s="7"/>
      <c r="F146" s="7"/>
      <c r="G146" s="284"/>
      <c r="H146" s="285"/>
      <c r="I146" s="286"/>
      <c r="J146" s="271"/>
      <c r="K146" s="271">
        <f>SMALL(K151:K152,1)</f>
        <v>0.16671875000000003</v>
      </c>
    </row>
    <row r="147" spans="2:16" s="215" customFormat="1" ht="15.6">
      <c r="B147" s="272" t="s">
        <v>2490</v>
      </c>
      <c r="C147" s="6" t="s">
        <v>3442</v>
      </c>
      <c r="D147" s="10" t="s">
        <v>3443</v>
      </c>
      <c r="E147" s="7" t="s">
        <v>3443</v>
      </c>
      <c r="F147" s="8" t="s">
        <v>2562</v>
      </c>
      <c r="G147" s="7">
        <v>11072</v>
      </c>
      <c r="H147" s="272" t="s">
        <v>3963</v>
      </c>
      <c r="I147" s="287">
        <v>1</v>
      </c>
      <c r="J147" s="276">
        <v>0.12</v>
      </c>
      <c r="K147" s="276">
        <f>J147/I147</f>
        <v>0.12</v>
      </c>
      <c r="L147" s="216"/>
    </row>
    <row r="148" spans="2:16" s="215" customFormat="1" ht="15.6">
      <c r="B148" s="272" t="s">
        <v>2491</v>
      </c>
      <c r="C148" s="6" t="s">
        <v>3964</v>
      </c>
      <c r="D148" s="7" t="s">
        <v>3443</v>
      </c>
      <c r="E148" s="288" t="s">
        <v>3443</v>
      </c>
      <c r="F148" s="8" t="s">
        <v>2562</v>
      </c>
      <c r="G148" s="7" t="s">
        <v>3965</v>
      </c>
      <c r="H148" s="272" t="s">
        <v>3963</v>
      </c>
      <c r="I148" s="275">
        <v>1</v>
      </c>
      <c r="J148" s="276">
        <v>0.17</v>
      </c>
      <c r="K148" s="276">
        <f>J148/I148</f>
        <v>0.17</v>
      </c>
      <c r="L148" s="216"/>
      <c r="N148" s="218"/>
      <c r="O148" s="218">
        <v>45040</v>
      </c>
      <c r="P148" s="215">
        <f>O148-N148</f>
        <v>45040</v>
      </c>
    </row>
    <row r="149" spans="2:16" s="215" customFormat="1" ht="15.6">
      <c r="B149" s="272" t="s">
        <v>2494</v>
      </c>
      <c r="C149" s="6" t="s">
        <v>2601</v>
      </c>
      <c r="D149" s="7" t="s">
        <v>2598</v>
      </c>
      <c r="E149" s="288" t="s">
        <v>2599</v>
      </c>
      <c r="F149" s="8" t="s">
        <v>2562</v>
      </c>
      <c r="G149" s="7">
        <v>42040</v>
      </c>
      <c r="H149" s="274">
        <v>45050</v>
      </c>
      <c r="I149" s="275">
        <v>128</v>
      </c>
      <c r="J149" s="276">
        <v>26.9</v>
      </c>
      <c r="K149" s="276">
        <f>J149/I149</f>
        <v>0.21015624999999999</v>
      </c>
      <c r="L149" s="216"/>
    </row>
    <row r="150" spans="2:16" s="215" customFormat="1" ht="15.6">
      <c r="B150" s="552" t="s">
        <v>3950</v>
      </c>
      <c r="C150" s="552"/>
      <c r="D150" s="552"/>
      <c r="E150" s="552"/>
      <c r="F150" s="552"/>
      <c r="G150" s="552"/>
      <c r="H150" s="552"/>
      <c r="I150" s="281"/>
      <c r="J150" s="281"/>
      <c r="K150" s="281"/>
      <c r="L150" s="216"/>
    </row>
    <row r="151" spans="2:16" s="215" customFormat="1" ht="15.6">
      <c r="B151" s="289"/>
      <c r="C151" s="278"/>
      <c r="D151" s="279"/>
      <c r="E151" s="291"/>
      <c r="F151" s="279"/>
      <c r="G151" s="279"/>
      <c r="H151" s="279"/>
      <c r="I151" s="281"/>
      <c r="J151" s="275" t="s">
        <v>2483</v>
      </c>
      <c r="K151" s="276">
        <f>AVERAGE(K147:K149)</f>
        <v>0.16671875000000003</v>
      </c>
      <c r="L151" s="217"/>
    </row>
    <row r="152" spans="2:16" s="215" customFormat="1" ht="15.6">
      <c r="B152" s="289"/>
      <c r="C152" s="278"/>
      <c r="D152" s="279"/>
      <c r="E152" s="279"/>
      <c r="F152" s="279"/>
      <c r="G152" s="279"/>
      <c r="H152" s="279"/>
      <c r="I152" s="281"/>
      <c r="J152" s="275" t="s">
        <v>2484</v>
      </c>
      <c r="K152" s="276">
        <f>MEDIAN(K147:K149)</f>
        <v>0.17</v>
      </c>
      <c r="L152" s="217"/>
    </row>
    <row r="153" spans="2:16" s="215" customFormat="1" ht="15.6">
      <c r="B153" s="289"/>
      <c r="C153" s="278"/>
      <c r="D153" s="279"/>
      <c r="E153" s="279"/>
      <c r="F153" s="279"/>
      <c r="G153" s="279"/>
      <c r="H153" s="279"/>
      <c r="I153" s="281"/>
      <c r="J153" s="292"/>
      <c r="K153" s="293"/>
    </row>
    <row r="154" spans="2:16" s="215" customFormat="1" ht="15.6">
      <c r="B154" s="6" t="s">
        <v>2773</v>
      </c>
      <c r="C154" s="282" t="s">
        <v>2545</v>
      </c>
      <c r="D154" s="283"/>
      <c r="E154" s="7"/>
      <c r="F154" s="7"/>
      <c r="G154" s="284"/>
      <c r="H154" s="285"/>
      <c r="I154" s="286"/>
      <c r="J154" s="271"/>
      <c r="K154" s="271">
        <f>SMALL(K159:K160,1)</f>
        <v>4.6100000000000003</v>
      </c>
    </row>
    <row r="155" spans="2:16" s="215" customFormat="1" ht="15.6">
      <c r="B155" s="272" t="s">
        <v>2490</v>
      </c>
      <c r="C155" s="6" t="s">
        <v>2595</v>
      </c>
      <c r="D155" s="7" t="s">
        <v>2596</v>
      </c>
      <c r="E155" s="288" t="s">
        <v>2597</v>
      </c>
      <c r="F155" s="8" t="s">
        <v>2562</v>
      </c>
      <c r="G155" s="7">
        <v>1784</v>
      </c>
      <c r="H155" s="274">
        <v>44971</v>
      </c>
      <c r="I155" s="295">
        <v>1</v>
      </c>
      <c r="J155" s="276">
        <v>4.53</v>
      </c>
      <c r="K155" s="276">
        <f>J155/I155</f>
        <v>4.53</v>
      </c>
      <c r="L155" s="216"/>
    </row>
    <row r="156" spans="2:16" s="215" customFormat="1" ht="15.6">
      <c r="B156" s="272" t="s">
        <v>2491</v>
      </c>
      <c r="C156" s="6" t="s">
        <v>2579</v>
      </c>
      <c r="D156" s="7" t="s">
        <v>2580</v>
      </c>
      <c r="E156" s="288" t="s">
        <v>2581</v>
      </c>
      <c r="F156" s="8" t="s">
        <v>2562</v>
      </c>
      <c r="G156" s="7" t="s">
        <v>2605</v>
      </c>
      <c r="H156" s="274">
        <v>44972</v>
      </c>
      <c r="I156" s="275">
        <v>1</v>
      </c>
      <c r="J156" s="276">
        <v>4.6100000000000003</v>
      </c>
      <c r="K156" s="276">
        <f>J156/I156</f>
        <v>4.6100000000000003</v>
      </c>
      <c r="L156" s="216"/>
    </row>
    <row r="157" spans="2:16" s="215" customFormat="1" ht="15.6">
      <c r="B157" s="272" t="s">
        <v>2494</v>
      </c>
      <c r="C157" s="6" t="s">
        <v>2602</v>
      </c>
      <c r="D157" s="7" t="s">
        <v>2603</v>
      </c>
      <c r="E157" s="288" t="s">
        <v>2604</v>
      </c>
      <c r="F157" s="8" t="s">
        <v>2562</v>
      </c>
      <c r="G157" s="7"/>
      <c r="H157" s="274">
        <v>44972</v>
      </c>
      <c r="I157" s="275">
        <v>1</v>
      </c>
      <c r="J157" s="276">
        <v>5.69</v>
      </c>
      <c r="K157" s="276">
        <f>J157/I157</f>
        <v>5.69</v>
      </c>
      <c r="L157" s="216"/>
    </row>
    <row r="158" spans="2:16" s="215" customFormat="1" ht="15.6">
      <c r="B158" s="289"/>
      <c r="C158" s="278"/>
      <c r="D158" s="279"/>
      <c r="E158" s="290"/>
      <c r="F158" s="279"/>
      <c r="G158" s="279"/>
      <c r="H158" s="279"/>
      <c r="I158" s="281"/>
      <c r="J158" s="281"/>
      <c r="K158" s="281"/>
      <c r="L158" s="216"/>
    </row>
    <row r="159" spans="2:16" s="215" customFormat="1" ht="15.6">
      <c r="B159" s="289"/>
      <c r="C159" s="278"/>
      <c r="D159" s="279"/>
      <c r="E159" s="291"/>
      <c r="F159" s="279"/>
      <c r="G159" s="279"/>
      <c r="H159" s="279"/>
      <c r="I159" s="281"/>
      <c r="J159" s="275" t="s">
        <v>2483</v>
      </c>
      <c r="K159" s="276">
        <f>AVERAGE(K155:K157)</f>
        <v>4.9433333333333342</v>
      </c>
      <c r="L159" s="217"/>
    </row>
    <row r="160" spans="2:16" s="215" customFormat="1" ht="15.6">
      <c r="B160" s="289"/>
      <c r="C160" s="278"/>
      <c r="D160" s="279"/>
      <c r="E160" s="279"/>
      <c r="F160" s="279"/>
      <c r="G160" s="279"/>
      <c r="H160" s="279"/>
      <c r="I160" s="281"/>
      <c r="J160" s="275" t="s">
        <v>2484</v>
      </c>
      <c r="K160" s="276">
        <f>MEDIAN(K155:K157)</f>
        <v>4.6100000000000003</v>
      </c>
      <c r="L160" s="217"/>
    </row>
    <row r="161" spans="2:60" s="215" customFormat="1" ht="15.6">
      <c r="B161" s="289"/>
      <c r="C161" s="278"/>
      <c r="D161" s="279"/>
      <c r="E161" s="279"/>
      <c r="F161" s="279"/>
      <c r="G161" s="279"/>
      <c r="H161" s="279"/>
      <c r="I161" s="281"/>
      <c r="J161" s="292"/>
      <c r="K161" s="293"/>
    </row>
    <row r="162" spans="2:60" s="215" customFormat="1" ht="15.6">
      <c r="B162" s="6" t="s">
        <v>2774</v>
      </c>
      <c r="C162" s="282" t="s">
        <v>3320</v>
      </c>
      <c r="D162" s="284"/>
      <c r="E162" s="284"/>
      <c r="F162" s="284"/>
      <c r="G162" s="284"/>
      <c r="H162" s="285"/>
      <c r="I162" s="286"/>
      <c r="J162" s="271"/>
      <c r="K162" s="271">
        <f>SMALL(K167:K168,1)</f>
        <v>550.09393680614858</v>
      </c>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row>
    <row r="163" spans="2:60" s="215" customFormat="1" ht="15.6">
      <c r="B163" s="272" t="s">
        <v>2490</v>
      </c>
      <c r="C163" s="296" t="s">
        <v>2666</v>
      </c>
      <c r="D163" s="10" t="s">
        <v>2667</v>
      </c>
      <c r="E163" s="10" t="s">
        <v>2668</v>
      </c>
      <c r="F163" s="8" t="s">
        <v>2889</v>
      </c>
      <c r="G163" s="7"/>
      <c r="H163" s="274">
        <v>45015</v>
      </c>
      <c r="I163" s="295">
        <v>58.55</v>
      </c>
      <c r="J163" s="276">
        <v>32208</v>
      </c>
      <c r="K163" s="276">
        <f>J163/I163</f>
        <v>550.09393680614858</v>
      </c>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row>
    <row r="164" spans="2:60" s="215" customFormat="1" ht="15.6">
      <c r="B164" s="272" t="s">
        <v>2491</v>
      </c>
      <c r="C164" s="297" t="s">
        <v>2669</v>
      </c>
      <c r="D164" s="7" t="s">
        <v>2670</v>
      </c>
      <c r="E164" s="7" t="s">
        <v>2671</v>
      </c>
      <c r="F164" s="8" t="s">
        <v>2889</v>
      </c>
      <c r="G164" s="7"/>
      <c r="H164" s="274">
        <v>45015</v>
      </c>
      <c r="I164" s="295">
        <v>58.55</v>
      </c>
      <c r="J164" s="276">
        <v>27250</v>
      </c>
      <c r="K164" s="276">
        <f>J164/I164</f>
        <v>465.41417591801883</v>
      </c>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row>
    <row r="165" spans="2:60" s="215" customFormat="1" ht="15.6">
      <c r="B165" s="272" t="s">
        <v>2494</v>
      </c>
      <c r="C165" s="298" t="s">
        <v>2810</v>
      </c>
      <c r="D165" s="7" t="s">
        <v>2811</v>
      </c>
      <c r="E165" s="10" t="s">
        <v>2812</v>
      </c>
      <c r="F165" s="8" t="s">
        <v>2889</v>
      </c>
      <c r="G165" s="7"/>
      <c r="H165" s="274">
        <v>45014</v>
      </c>
      <c r="I165" s="295">
        <v>58.55</v>
      </c>
      <c r="J165" s="276">
        <v>41259.47</v>
      </c>
      <c r="K165" s="276">
        <f>J165/I165</f>
        <v>704.68778821520073</v>
      </c>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row>
    <row r="166" spans="2:60" s="215" customFormat="1" ht="15.6">
      <c r="B166" s="289"/>
      <c r="C166" s="299"/>
      <c r="D166" s="279"/>
      <c r="E166" s="279"/>
      <c r="F166" s="279"/>
      <c r="G166" s="279"/>
      <c r="H166" s="279"/>
      <c r="I166" s="281"/>
      <c r="J166" s="281"/>
      <c r="K166" s="281"/>
      <c r="L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row>
    <row r="167" spans="2:60" s="215" customFormat="1" ht="15.6">
      <c r="B167" s="289"/>
      <c r="C167" s="299"/>
      <c r="D167" s="279"/>
      <c r="E167" s="279"/>
      <c r="F167" s="279"/>
      <c r="G167" s="279"/>
      <c r="H167" s="279"/>
      <c r="I167" s="281"/>
      <c r="J167" s="275" t="s">
        <v>2483</v>
      </c>
      <c r="K167" s="276">
        <f>AVERAGE(K163:K165)</f>
        <v>573.39863364645601</v>
      </c>
      <c r="L167" s="217"/>
    </row>
    <row r="168" spans="2:60" s="215" customFormat="1" ht="15.6">
      <c r="B168" s="289"/>
      <c r="C168" s="299"/>
      <c r="D168" s="279"/>
      <c r="E168" s="279"/>
      <c r="F168" s="279"/>
      <c r="G168" s="279"/>
      <c r="H168" s="279"/>
      <c r="I168" s="281"/>
      <c r="J168" s="275" t="s">
        <v>2484</v>
      </c>
      <c r="K168" s="276">
        <f>MEDIAN(K163:K165)</f>
        <v>550.09393680614858</v>
      </c>
      <c r="L168" s="217"/>
    </row>
    <row r="169" spans="2:60" s="215" customFormat="1" ht="15.6">
      <c r="B169" s="289"/>
      <c r="C169" s="299"/>
      <c r="D169" s="279"/>
      <c r="E169" s="279"/>
      <c r="F169" s="279"/>
      <c r="G169" s="279"/>
      <c r="H169" s="279"/>
      <c r="I169" s="279"/>
      <c r="J169" s="279"/>
      <c r="K169" s="279"/>
    </row>
    <row r="170" spans="2:60" s="215" customFormat="1" ht="15.6">
      <c r="B170" s="6" t="s">
        <v>2775</v>
      </c>
      <c r="C170" s="282" t="s">
        <v>2865</v>
      </c>
      <c r="D170" s="284"/>
      <c r="E170" s="284"/>
      <c r="F170" s="284"/>
      <c r="G170" s="284"/>
      <c r="H170" s="285"/>
      <c r="I170" s="286"/>
      <c r="J170" s="271"/>
      <c r="K170" s="271">
        <f>SMALL(K175:K176,1)</f>
        <v>15108.26</v>
      </c>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row>
    <row r="171" spans="2:60" s="215" customFormat="1" ht="15.6">
      <c r="B171" s="272" t="s">
        <v>2490</v>
      </c>
      <c r="C171" s="296" t="s">
        <v>2666</v>
      </c>
      <c r="D171" s="10" t="s">
        <v>2667</v>
      </c>
      <c r="E171" s="10" t="s">
        <v>2668</v>
      </c>
      <c r="F171" s="8" t="s">
        <v>2562</v>
      </c>
      <c r="G171" s="7"/>
      <c r="H171" s="274">
        <v>45015</v>
      </c>
      <c r="I171" s="295">
        <v>1</v>
      </c>
      <c r="J171" s="276">
        <v>13220</v>
      </c>
      <c r="K171" s="276">
        <f>J171/I171</f>
        <v>13220</v>
      </c>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row>
    <row r="172" spans="2:60" s="215" customFormat="1" ht="15.6">
      <c r="B172" s="272" t="s">
        <v>2491</v>
      </c>
      <c r="C172" s="297" t="s">
        <v>2669</v>
      </c>
      <c r="D172" s="7" t="s">
        <v>2670</v>
      </c>
      <c r="E172" s="7" t="s">
        <v>2671</v>
      </c>
      <c r="F172" s="8" t="s">
        <v>2562</v>
      </c>
      <c r="G172" s="7"/>
      <c r="H172" s="274">
        <v>45015</v>
      </c>
      <c r="I172" s="275">
        <v>1</v>
      </c>
      <c r="J172" s="276">
        <v>16000</v>
      </c>
      <c r="K172" s="276">
        <f>J172/I172</f>
        <v>16000</v>
      </c>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row>
    <row r="173" spans="2:60" s="215" customFormat="1" ht="15.6">
      <c r="B173" s="272" t="s">
        <v>2494</v>
      </c>
      <c r="C173" s="298" t="s">
        <v>2810</v>
      </c>
      <c r="D173" s="7" t="s">
        <v>2811</v>
      </c>
      <c r="E173" s="10" t="s">
        <v>2812</v>
      </c>
      <c r="F173" s="8" t="s">
        <v>2562</v>
      </c>
      <c r="G173" s="7"/>
      <c r="H173" s="274">
        <v>45014</v>
      </c>
      <c r="I173" s="275">
        <v>1</v>
      </c>
      <c r="J173" s="276">
        <v>16104.78</v>
      </c>
      <c r="K173" s="276">
        <f>J173/I173</f>
        <v>16104.78</v>
      </c>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row>
    <row r="174" spans="2:60" s="215" customFormat="1" ht="15.6">
      <c r="B174" s="289"/>
      <c r="C174" s="299"/>
      <c r="D174" s="279"/>
      <c r="E174" s="279"/>
      <c r="F174" s="279"/>
      <c r="G174" s="279"/>
      <c r="H174" s="279"/>
      <c r="I174" s="281"/>
      <c r="J174" s="281"/>
      <c r="K174" s="281"/>
      <c r="L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row>
    <row r="175" spans="2:60" s="215" customFormat="1" ht="15.6">
      <c r="B175" s="289"/>
      <c r="C175" s="299"/>
      <c r="D175" s="279"/>
      <c r="E175" s="279"/>
      <c r="F175" s="279"/>
      <c r="G175" s="279"/>
      <c r="H175" s="279"/>
      <c r="I175" s="281"/>
      <c r="J175" s="275" t="s">
        <v>2483</v>
      </c>
      <c r="K175" s="276">
        <f>AVERAGE(K171:K173)</f>
        <v>15108.26</v>
      </c>
      <c r="L175" s="217"/>
    </row>
    <row r="176" spans="2:60" s="215" customFormat="1" ht="15.6">
      <c r="B176" s="289"/>
      <c r="C176" s="299"/>
      <c r="D176" s="279"/>
      <c r="E176" s="279"/>
      <c r="F176" s="279"/>
      <c r="G176" s="279"/>
      <c r="H176" s="279"/>
      <c r="I176" s="281"/>
      <c r="J176" s="275" t="s">
        <v>2484</v>
      </c>
      <c r="K176" s="276">
        <f>MEDIAN(K171:K173)</f>
        <v>16000</v>
      </c>
      <c r="L176" s="217"/>
    </row>
    <row r="177" spans="2:60" s="215" customFormat="1" ht="15.6">
      <c r="B177" s="300"/>
      <c r="C177" s="300"/>
      <c r="D177" s="301"/>
      <c r="E177" s="301"/>
      <c r="F177" s="301"/>
      <c r="G177" s="301"/>
      <c r="H177" s="301"/>
      <c r="I177" s="301"/>
      <c r="J177" s="301"/>
      <c r="K177" s="301"/>
    </row>
    <row r="178" spans="2:60" s="215" customFormat="1" ht="15.6">
      <c r="B178" s="6" t="s">
        <v>2776</v>
      </c>
      <c r="C178" s="282" t="s">
        <v>2866</v>
      </c>
      <c r="D178" s="284"/>
      <c r="E178" s="284"/>
      <c r="F178" s="284"/>
      <c r="G178" s="284"/>
      <c r="H178" s="285"/>
      <c r="I178" s="286"/>
      <c r="J178" s="271"/>
      <c r="K178" s="271">
        <f>SMALL(K183:K184,1)</f>
        <v>4560</v>
      </c>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row>
    <row r="179" spans="2:60" s="215" customFormat="1" ht="15.6">
      <c r="B179" s="272" t="s">
        <v>2490</v>
      </c>
      <c r="C179" s="296" t="s">
        <v>2666</v>
      </c>
      <c r="D179" s="10" t="s">
        <v>2667</v>
      </c>
      <c r="E179" s="10" t="s">
        <v>2668</v>
      </c>
      <c r="F179" s="8" t="s">
        <v>2562</v>
      </c>
      <c r="G179" s="7"/>
      <c r="H179" s="274">
        <v>45015</v>
      </c>
      <c r="I179" s="295">
        <v>1</v>
      </c>
      <c r="J179" s="276">
        <v>4560</v>
      </c>
      <c r="K179" s="276">
        <f>J179/I179</f>
        <v>4560</v>
      </c>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row>
    <row r="180" spans="2:60" s="215" customFormat="1" ht="15.6">
      <c r="B180" s="272" t="s">
        <v>2491</v>
      </c>
      <c r="C180" s="297" t="s">
        <v>2669</v>
      </c>
      <c r="D180" s="7" t="s">
        <v>2670</v>
      </c>
      <c r="E180" s="7" t="s">
        <v>2671</v>
      </c>
      <c r="F180" s="8" t="s">
        <v>2562</v>
      </c>
      <c r="G180" s="7"/>
      <c r="H180" s="274">
        <v>45015</v>
      </c>
      <c r="I180" s="275">
        <v>1</v>
      </c>
      <c r="J180" s="276">
        <v>5200</v>
      </c>
      <c r="K180" s="276">
        <f>J180/I180</f>
        <v>5200</v>
      </c>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row>
    <row r="181" spans="2:60" s="215" customFormat="1" ht="15.6">
      <c r="B181" s="272" t="s">
        <v>2494</v>
      </c>
      <c r="C181" s="298" t="s">
        <v>2810</v>
      </c>
      <c r="D181" s="7" t="s">
        <v>2811</v>
      </c>
      <c r="E181" s="10" t="s">
        <v>2812</v>
      </c>
      <c r="F181" s="8" t="s">
        <v>2562</v>
      </c>
      <c r="G181" s="7"/>
      <c r="H181" s="274">
        <v>45014</v>
      </c>
      <c r="I181" s="275">
        <v>1</v>
      </c>
      <c r="J181" s="276">
        <v>4314</v>
      </c>
      <c r="K181" s="276">
        <f>J181/I181</f>
        <v>4314</v>
      </c>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row>
    <row r="182" spans="2:60" s="215" customFormat="1" ht="15.6">
      <c r="B182" s="289"/>
      <c r="C182" s="299"/>
      <c r="D182" s="279"/>
      <c r="E182" s="279"/>
      <c r="F182" s="279"/>
      <c r="G182" s="279"/>
      <c r="H182" s="279"/>
      <c r="I182" s="281"/>
      <c r="J182" s="281"/>
      <c r="K182" s="281"/>
      <c r="L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row>
    <row r="183" spans="2:60" s="215" customFormat="1" ht="15.6">
      <c r="B183" s="289"/>
      <c r="C183" s="299"/>
      <c r="D183" s="279"/>
      <c r="E183" s="279"/>
      <c r="F183" s="279"/>
      <c r="G183" s="279"/>
      <c r="H183" s="279"/>
      <c r="I183" s="281"/>
      <c r="J183" s="275" t="s">
        <v>2483</v>
      </c>
      <c r="K183" s="276">
        <f>AVERAGE(K179:K181)</f>
        <v>4691.333333333333</v>
      </c>
      <c r="L183" s="217"/>
    </row>
    <row r="184" spans="2:60" s="215" customFormat="1" ht="15.6">
      <c r="B184" s="289"/>
      <c r="C184" s="299"/>
      <c r="D184" s="279"/>
      <c r="E184" s="279"/>
      <c r="F184" s="279"/>
      <c r="G184" s="279"/>
      <c r="H184" s="279"/>
      <c r="I184" s="281"/>
      <c r="J184" s="275" t="s">
        <v>2484</v>
      </c>
      <c r="K184" s="276">
        <f>MEDIAN(K179:K181)</f>
        <v>4560</v>
      </c>
      <c r="L184" s="217"/>
    </row>
    <row r="185" spans="2:60" s="215" customFormat="1" ht="15.6">
      <c r="B185" s="289"/>
      <c r="C185" s="299"/>
      <c r="D185" s="279"/>
      <c r="E185" s="279"/>
      <c r="F185" s="279"/>
      <c r="G185" s="279"/>
      <c r="H185" s="279"/>
      <c r="I185" s="281"/>
      <c r="J185" s="292"/>
      <c r="K185" s="293"/>
    </row>
    <row r="186" spans="2:60" s="215" customFormat="1" ht="15.6">
      <c r="B186" s="6" t="s">
        <v>2777</v>
      </c>
      <c r="C186" s="282" t="s">
        <v>2867</v>
      </c>
      <c r="D186" s="284"/>
      <c r="E186" s="284"/>
      <c r="F186" s="284"/>
      <c r="G186" s="284"/>
      <c r="H186" s="285"/>
      <c r="I186" s="286"/>
      <c r="J186" s="271"/>
      <c r="K186" s="271">
        <f>SMALL(K191:K192,1)</f>
        <v>7800</v>
      </c>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row>
    <row r="187" spans="2:60" s="215" customFormat="1" ht="15.6">
      <c r="B187" s="272" t="s">
        <v>2490</v>
      </c>
      <c r="C187" s="296" t="s">
        <v>2666</v>
      </c>
      <c r="D187" s="10" t="s">
        <v>2667</v>
      </c>
      <c r="E187" s="10" t="s">
        <v>2668</v>
      </c>
      <c r="F187" s="8" t="s">
        <v>2562</v>
      </c>
      <c r="G187" s="7"/>
      <c r="H187" s="274">
        <v>44984</v>
      </c>
      <c r="I187" s="295">
        <v>1</v>
      </c>
      <c r="J187" s="276">
        <v>7800</v>
      </c>
      <c r="K187" s="276">
        <f>J187/I187</f>
        <v>7800</v>
      </c>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row>
    <row r="188" spans="2:60" s="215" customFormat="1" ht="15.6">
      <c r="B188" s="272" t="s">
        <v>2491</v>
      </c>
      <c r="C188" s="297" t="s">
        <v>2669</v>
      </c>
      <c r="D188" s="7" t="s">
        <v>2670</v>
      </c>
      <c r="E188" s="7" t="s">
        <v>2671</v>
      </c>
      <c r="F188" s="8" t="s">
        <v>2562</v>
      </c>
      <c r="G188" s="7"/>
      <c r="H188" s="274">
        <v>44949</v>
      </c>
      <c r="I188" s="275">
        <v>1</v>
      </c>
      <c r="J188" s="276">
        <v>10900</v>
      </c>
      <c r="K188" s="276">
        <f>J188/I188</f>
        <v>10900</v>
      </c>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row>
    <row r="189" spans="2:60" s="215" customFormat="1" ht="15.6">
      <c r="B189" s="272" t="s">
        <v>2494</v>
      </c>
      <c r="C189" s="298" t="s">
        <v>2672</v>
      </c>
      <c r="D189" s="7" t="s">
        <v>2673</v>
      </c>
      <c r="E189" s="7" t="s">
        <v>2674</v>
      </c>
      <c r="F189" s="8" t="s">
        <v>2562</v>
      </c>
      <c r="G189" s="7"/>
      <c r="H189" s="274">
        <v>44949</v>
      </c>
      <c r="I189" s="275">
        <v>1</v>
      </c>
      <c r="J189" s="276">
        <v>6900</v>
      </c>
      <c r="K189" s="276">
        <f>J189/I189</f>
        <v>6900</v>
      </c>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row>
    <row r="190" spans="2:60" s="215" customFormat="1" ht="15.6">
      <c r="B190" s="289"/>
      <c r="C190" s="299"/>
      <c r="D190" s="279"/>
      <c r="E190" s="279"/>
      <c r="F190" s="279"/>
      <c r="G190" s="279"/>
      <c r="H190" s="279"/>
      <c r="I190" s="281"/>
      <c r="J190" s="281"/>
      <c r="K190" s="281"/>
      <c r="L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row>
    <row r="191" spans="2:60" s="215" customFormat="1" ht="15.6">
      <c r="B191" s="289"/>
      <c r="C191" s="299"/>
      <c r="D191" s="279"/>
      <c r="E191" s="279"/>
      <c r="F191" s="279"/>
      <c r="G191" s="279"/>
      <c r="H191" s="279"/>
      <c r="I191" s="281"/>
      <c r="J191" s="275" t="s">
        <v>2483</v>
      </c>
      <c r="K191" s="276">
        <f>AVERAGE(K187:K189)</f>
        <v>8533.3333333333339</v>
      </c>
      <c r="L191" s="217"/>
    </row>
    <row r="192" spans="2:60" s="215" customFormat="1" ht="15.6">
      <c r="B192" s="289"/>
      <c r="C192" s="299"/>
      <c r="D192" s="279"/>
      <c r="E192" s="279"/>
      <c r="F192" s="279"/>
      <c r="G192" s="279"/>
      <c r="H192" s="279"/>
      <c r="I192" s="281"/>
      <c r="J192" s="275" t="s">
        <v>2484</v>
      </c>
      <c r="K192" s="276">
        <f>MEDIAN(K187:K189)</f>
        <v>7800</v>
      </c>
      <c r="L192" s="217"/>
    </row>
    <row r="193" spans="2:60" s="215" customFormat="1" ht="15.6">
      <c r="B193" s="289"/>
      <c r="C193" s="299"/>
      <c r="D193" s="279"/>
      <c r="E193" s="279"/>
      <c r="F193" s="279"/>
      <c r="G193" s="279"/>
      <c r="H193" s="279"/>
      <c r="I193" s="281"/>
      <c r="J193" s="292"/>
      <c r="K193" s="293"/>
    </row>
    <row r="194" spans="2:60" s="215" customFormat="1" ht="15.6">
      <c r="B194" s="6" t="s">
        <v>2778</v>
      </c>
      <c r="C194" s="549" t="s">
        <v>2713</v>
      </c>
      <c r="D194" s="550"/>
      <c r="E194" s="550"/>
      <c r="F194" s="550"/>
      <c r="G194" s="550"/>
      <c r="H194" s="550"/>
      <c r="I194" s="550"/>
      <c r="J194" s="551"/>
      <c r="K194" s="271">
        <f>SMALL(K199:K200,1)</f>
        <v>433.33333333333331</v>
      </c>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row>
    <row r="195" spans="2:60" s="215" customFormat="1" ht="15.6">
      <c r="B195" s="272" t="s">
        <v>2490</v>
      </c>
      <c r="C195" s="6" t="s">
        <v>2714</v>
      </c>
      <c r="D195" s="7" t="s">
        <v>2715</v>
      </c>
      <c r="E195" s="288" t="s">
        <v>2716</v>
      </c>
      <c r="F195" s="8" t="s">
        <v>2616</v>
      </c>
      <c r="G195" s="7"/>
      <c r="H195" s="274">
        <v>45007</v>
      </c>
      <c r="I195" s="275">
        <f>4*1*1.5</f>
        <v>6</v>
      </c>
      <c r="J195" s="276">
        <v>2600</v>
      </c>
      <c r="K195" s="276">
        <f>J195/I195</f>
        <v>433.33333333333331</v>
      </c>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row>
    <row r="196" spans="2:60" s="215" customFormat="1" ht="15.6">
      <c r="B196" s="272" t="s">
        <v>2491</v>
      </c>
      <c r="C196" s="6" t="s">
        <v>2717</v>
      </c>
      <c r="D196" s="10" t="s">
        <v>2718</v>
      </c>
      <c r="E196" s="288" t="s">
        <v>2719</v>
      </c>
      <c r="F196" s="8" t="s">
        <v>2616</v>
      </c>
      <c r="G196" s="7"/>
      <c r="H196" s="274">
        <v>45007</v>
      </c>
      <c r="I196" s="275">
        <f>4*1*1.5</f>
        <v>6</v>
      </c>
      <c r="J196" s="276">
        <v>2560</v>
      </c>
      <c r="K196" s="276">
        <f>J196/I196</f>
        <v>426.66666666666669</v>
      </c>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row>
    <row r="197" spans="2:60" s="215" customFormat="1" ht="15.6">
      <c r="B197" s="272" t="s">
        <v>2494</v>
      </c>
      <c r="C197" s="6" t="s">
        <v>2747</v>
      </c>
      <c r="D197" s="10" t="s">
        <v>2748</v>
      </c>
      <c r="E197" s="288" t="s">
        <v>2749</v>
      </c>
      <c r="F197" s="8" t="s">
        <v>2616</v>
      </c>
      <c r="G197" s="7"/>
      <c r="H197" s="274">
        <v>45013</v>
      </c>
      <c r="I197" s="275">
        <v>6</v>
      </c>
      <c r="J197" s="276">
        <v>3300</v>
      </c>
      <c r="K197" s="276">
        <f>J197/I197</f>
        <v>550</v>
      </c>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row>
    <row r="198" spans="2:60" s="215" customFormat="1" ht="15.6">
      <c r="B198" s="289"/>
      <c r="C198" s="299"/>
      <c r="D198" s="279"/>
      <c r="E198" s="279"/>
      <c r="F198" s="279"/>
      <c r="G198" s="279"/>
      <c r="H198" s="279"/>
      <c r="I198" s="281"/>
      <c r="J198" s="281"/>
      <c r="K198" s="281"/>
      <c r="L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row>
    <row r="199" spans="2:60" s="215" customFormat="1" ht="15.6">
      <c r="B199" s="289"/>
      <c r="C199" s="299"/>
      <c r="D199" s="279"/>
      <c r="E199" s="279"/>
      <c r="F199" s="279"/>
      <c r="G199" s="279"/>
      <c r="H199" s="279"/>
      <c r="I199" s="281"/>
      <c r="J199" s="275" t="s">
        <v>2483</v>
      </c>
      <c r="K199" s="276">
        <f>AVERAGE(K195:K197)</f>
        <v>470</v>
      </c>
      <c r="L199" s="217"/>
    </row>
    <row r="200" spans="2:60" s="215" customFormat="1" ht="15.6">
      <c r="B200" s="289"/>
      <c r="C200" s="299"/>
      <c r="D200" s="279"/>
      <c r="E200" s="279"/>
      <c r="F200" s="279"/>
      <c r="G200" s="279"/>
      <c r="H200" s="279"/>
      <c r="I200" s="281"/>
      <c r="J200" s="275" t="s">
        <v>2484</v>
      </c>
      <c r="K200" s="276">
        <f>MEDIAN(K195:K197)</f>
        <v>433.33333333333331</v>
      </c>
      <c r="L200" s="217"/>
    </row>
    <row r="201" spans="2:60" s="215" customFormat="1" ht="15.6">
      <c r="B201" s="289"/>
      <c r="C201" s="299"/>
      <c r="D201" s="279"/>
      <c r="E201" s="279"/>
      <c r="F201" s="279"/>
      <c r="G201" s="279"/>
      <c r="H201" s="279"/>
      <c r="I201" s="281"/>
      <c r="J201" s="302"/>
      <c r="K201" s="303"/>
    </row>
    <row r="202" spans="2:60" s="215" customFormat="1" ht="15.6">
      <c r="B202" s="6" t="s">
        <v>2779</v>
      </c>
      <c r="C202" s="282" t="s">
        <v>2802</v>
      </c>
      <c r="D202" s="284"/>
      <c r="E202" s="284"/>
      <c r="F202" s="284"/>
      <c r="G202" s="284"/>
      <c r="H202" s="285"/>
      <c r="I202" s="286"/>
      <c r="J202" s="271"/>
      <c r="K202" s="271">
        <f>SMALL(K207:K208,1)</f>
        <v>138.56</v>
      </c>
    </row>
    <row r="203" spans="2:60" s="215" customFormat="1" ht="15.6">
      <c r="B203" s="272" t="s">
        <v>2490</v>
      </c>
      <c r="C203" s="296" t="s">
        <v>2803</v>
      </c>
      <c r="D203" s="10" t="s">
        <v>2804</v>
      </c>
      <c r="E203" s="10" t="s">
        <v>2805</v>
      </c>
      <c r="F203" s="8" t="s">
        <v>2562</v>
      </c>
      <c r="G203" s="7"/>
      <c r="H203" s="274">
        <v>45014</v>
      </c>
      <c r="I203" s="295">
        <v>1</v>
      </c>
      <c r="J203" s="276">
        <v>152.1</v>
      </c>
      <c r="K203" s="276">
        <f>J203/I203</f>
        <v>152.1</v>
      </c>
      <c r="L203" s="216"/>
    </row>
    <row r="204" spans="2:60" s="215" customFormat="1" ht="15.6">
      <c r="B204" s="272" t="s">
        <v>2491</v>
      </c>
      <c r="C204" s="297" t="s">
        <v>2575</v>
      </c>
      <c r="D204" s="7" t="s">
        <v>2806</v>
      </c>
      <c r="E204" s="7" t="s">
        <v>2493</v>
      </c>
      <c r="F204" s="8" t="s">
        <v>2562</v>
      </c>
      <c r="G204" s="7"/>
      <c r="H204" s="274">
        <v>45014</v>
      </c>
      <c r="I204" s="275">
        <v>1</v>
      </c>
      <c r="J204" s="276">
        <v>136.88999999999999</v>
      </c>
      <c r="K204" s="276">
        <f>J204/I204</f>
        <v>136.88999999999999</v>
      </c>
      <c r="L204" s="216"/>
    </row>
    <row r="205" spans="2:60" s="215" customFormat="1" ht="15.6">
      <c r="B205" s="272" t="s">
        <v>2494</v>
      </c>
      <c r="C205" s="298" t="s">
        <v>2809</v>
      </c>
      <c r="D205" s="7" t="s">
        <v>2807</v>
      </c>
      <c r="E205" s="10" t="s">
        <v>2808</v>
      </c>
      <c r="F205" s="8" t="s">
        <v>2562</v>
      </c>
      <c r="G205" s="7"/>
      <c r="H205" s="274">
        <v>45055</v>
      </c>
      <c r="I205" s="275">
        <v>1</v>
      </c>
      <c r="J205" s="276">
        <v>138.56</v>
      </c>
      <c r="K205" s="276">
        <f>J205/I205</f>
        <v>138.56</v>
      </c>
      <c r="L205" s="216"/>
    </row>
    <row r="206" spans="2:60" s="215" customFormat="1" ht="15.6">
      <c r="B206" s="289"/>
      <c r="C206" s="299"/>
      <c r="D206" s="279"/>
      <c r="E206" s="279"/>
      <c r="F206" s="279"/>
      <c r="G206" s="279"/>
      <c r="H206" s="279"/>
      <c r="I206" s="281"/>
      <c r="J206" s="281"/>
      <c r="K206" s="281"/>
      <c r="L206" s="216"/>
    </row>
    <row r="207" spans="2:60" s="215" customFormat="1" ht="15.6">
      <c r="B207" s="289"/>
      <c r="C207" s="299"/>
      <c r="D207" s="279"/>
      <c r="E207" s="279"/>
      <c r="F207" s="279"/>
      <c r="G207" s="279"/>
      <c r="H207" s="279"/>
      <c r="I207" s="281"/>
      <c r="J207" s="275" t="s">
        <v>2483</v>
      </c>
      <c r="K207" s="276">
        <f>AVERAGE(K203:K205)</f>
        <v>142.51666666666668</v>
      </c>
      <c r="L207" s="217"/>
    </row>
    <row r="208" spans="2:60" s="215" customFormat="1" ht="15.6">
      <c r="B208" s="289"/>
      <c r="C208" s="299"/>
      <c r="D208" s="279"/>
      <c r="E208" s="279"/>
      <c r="F208" s="279"/>
      <c r="G208" s="279"/>
      <c r="H208" s="279"/>
      <c r="I208" s="281"/>
      <c r="J208" s="275" t="s">
        <v>2484</v>
      </c>
      <c r="K208" s="276">
        <f>MEDIAN(K203:K205)</f>
        <v>138.56</v>
      </c>
      <c r="L208" s="217"/>
    </row>
    <row r="209" spans="2:12" s="215" customFormat="1" ht="15.6">
      <c r="B209" s="289"/>
      <c r="C209" s="299"/>
      <c r="D209" s="279"/>
      <c r="E209" s="279"/>
      <c r="F209" s="279"/>
      <c r="G209" s="279"/>
      <c r="H209" s="279"/>
      <c r="I209" s="281"/>
      <c r="J209" s="292"/>
      <c r="K209" s="293"/>
    </row>
    <row r="210" spans="2:12" s="215" customFormat="1" ht="15.6">
      <c r="B210" s="6" t="s">
        <v>2780</v>
      </c>
      <c r="C210" s="282" t="s">
        <v>3674</v>
      </c>
      <c r="D210" s="284"/>
      <c r="E210" s="284"/>
      <c r="F210" s="284"/>
      <c r="G210" s="284"/>
      <c r="H210" s="285"/>
      <c r="I210" s="286"/>
      <c r="J210" s="271"/>
      <c r="K210" s="271">
        <f>SMALL(K215:K216,1)</f>
        <v>269.99999999999994</v>
      </c>
    </row>
    <row r="211" spans="2:12" s="215" customFormat="1" ht="15.6">
      <c r="B211" s="272" t="s">
        <v>2490</v>
      </c>
      <c r="C211" s="296" t="s">
        <v>2783</v>
      </c>
      <c r="D211" s="10" t="s">
        <v>2784</v>
      </c>
      <c r="E211" s="10" t="s">
        <v>2785</v>
      </c>
      <c r="F211" s="8" t="s">
        <v>2889</v>
      </c>
      <c r="G211" s="7"/>
      <c r="H211" s="274">
        <v>44973</v>
      </c>
      <c r="I211" s="295">
        <f>4.6*1.9*4</f>
        <v>34.959999999999994</v>
      </c>
      <c r="J211" s="276">
        <v>9089.6</v>
      </c>
      <c r="K211" s="276">
        <f>J211/I211</f>
        <v>260.00000000000006</v>
      </c>
      <c r="L211" s="216"/>
    </row>
    <row r="212" spans="2:12" s="215" customFormat="1" ht="15.6">
      <c r="B212" s="272" t="s">
        <v>2491</v>
      </c>
      <c r="C212" s="297" t="s">
        <v>2786</v>
      </c>
      <c r="D212" s="7" t="s">
        <v>2787</v>
      </c>
      <c r="E212" s="7" t="s">
        <v>2788</v>
      </c>
      <c r="F212" s="8" t="s">
        <v>2889</v>
      </c>
      <c r="G212" s="7"/>
      <c r="H212" s="274">
        <v>44959</v>
      </c>
      <c r="I212" s="295">
        <f>1.1*1.6</f>
        <v>1.7600000000000002</v>
      </c>
      <c r="J212" s="276">
        <v>475.2</v>
      </c>
      <c r="K212" s="276">
        <f>J212/I212</f>
        <v>269.99999999999994</v>
      </c>
      <c r="L212" s="216"/>
    </row>
    <row r="213" spans="2:12" s="215" customFormat="1" ht="15.6">
      <c r="B213" s="272" t="s">
        <v>2494</v>
      </c>
      <c r="C213" s="298" t="s">
        <v>2789</v>
      </c>
      <c r="D213" s="7" t="s">
        <v>2790</v>
      </c>
      <c r="E213" s="10" t="s">
        <v>2791</v>
      </c>
      <c r="F213" s="8" t="s">
        <v>2889</v>
      </c>
      <c r="G213" s="7"/>
      <c r="H213" s="274">
        <v>45099</v>
      </c>
      <c r="I213" s="295">
        <f>1.1*1.6</f>
        <v>1.7600000000000002</v>
      </c>
      <c r="J213" s="276">
        <v>528</v>
      </c>
      <c r="K213" s="276">
        <f>J213/I213</f>
        <v>299.99999999999994</v>
      </c>
      <c r="L213" s="216"/>
    </row>
    <row r="214" spans="2:12" s="215" customFormat="1" ht="15.6">
      <c r="B214" s="289"/>
      <c r="C214" s="299"/>
      <c r="D214" s="279"/>
      <c r="E214" s="279"/>
      <c r="F214" s="279"/>
      <c r="G214" s="279"/>
      <c r="H214" s="279"/>
      <c r="I214" s="281"/>
      <c r="J214" s="281"/>
      <c r="K214" s="281"/>
      <c r="L214" s="216"/>
    </row>
    <row r="215" spans="2:12" s="215" customFormat="1" ht="15.6">
      <c r="B215" s="289"/>
      <c r="C215" s="299"/>
      <c r="D215" s="279"/>
      <c r="E215" s="279"/>
      <c r="F215" s="279"/>
      <c r="G215" s="279"/>
      <c r="H215" s="279"/>
      <c r="I215" s="281"/>
      <c r="J215" s="275" t="s">
        <v>2483</v>
      </c>
      <c r="K215" s="276">
        <f>AVERAGE(K211:K213)</f>
        <v>276.66666666666669</v>
      </c>
      <c r="L215" s="217"/>
    </row>
    <row r="216" spans="2:12" s="215" customFormat="1" ht="15.6">
      <c r="B216" s="289"/>
      <c r="C216" s="299"/>
      <c r="D216" s="279"/>
      <c r="E216" s="279"/>
      <c r="F216" s="279"/>
      <c r="G216" s="279"/>
      <c r="H216" s="279"/>
      <c r="I216" s="281"/>
      <c r="J216" s="275" t="s">
        <v>2484</v>
      </c>
      <c r="K216" s="276">
        <f>MEDIAN(K211:K213)</f>
        <v>269.99999999999994</v>
      </c>
      <c r="L216" s="217"/>
    </row>
    <row r="217" spans="2:12" s="215" customFormat="1" ht="15.6">
      <c r="B217" s="289"/>
      <c r="C217" s="299"/>
      <c r="D217" s="279"/>
      <c r="E217" s="279"/>
      <c r="F217" s="279"/>
      <c r="G217" s="279"/>
      <c r="H217" s="279"/>
      <c r="I217" s="281"/>
      <c r="J217" s="292"/>
      <c r="K217" s="293"/>
    </row>
    <row r="218" spans="2:12" s="215" customFormat="1" ht="15.6">
      <c r="B218" s="6" t="s">
        <v>2781</v>
      </c>
      <c r="C218" s="282" t="s">
        <v>2793</v>
      </c>
      <c r="D218" s="284"/>
      <c r="E218" s="284"/>
      <c r="F218" s="284"/>
      <c r="G218" s="284"/>
      <c r="H218" s="285"/>
      <c r="I218" s="286"/>
      <c r="J218" s="271"/>
      <c r="K218" s="271">
        <f>SMALL(K223:K224,1)</f>
        <v>54.6</v>
      </c>
    </row>
    <row r="219" spans="2:12" s="215" customFormat="1" ht="15.6">
      <c r="B219" s="272" t="s">
        <v>2490</v>
      </c>
      <c r="C219" s="296" t="s">
        <v>2794</v>
      </c>
      <c r="D219" s="10" t="s">
        <v>2795</v>
      </c>
      <c r="E219" s="10" t="s">
        <v>2796</v>
      </c>
      <c r="F219" s="8" t="s">
        <v>2562</v>
      </c>
      <c r="G219" s="7" t="s">
        <v>2800</v>
      </c>
      <c r="H219" s="274">
        <v>45014</v>
      </c>
      <c r="I219" s="295">
        <v>1</v>
      </c>
      <c r="J219" s="276">
        <v>54.6</v>
      </c>
      <c r="K219" s="276">
        <f>J219/I219</f>
        <v>54.6</v>
      </c>
      <c r="L219" s="216"/>
    </row>
    <row r="220" spans="2:12" s="215" customFormat="1" ht="15.6">
      <c r="B220" s="272" t="s">
        <v>2491</v>
      </c>
      <c r="C220" s="351" t="s">
        <v>2797</v>
      </c>
      <c r="D220" s="7" t="s">
        <v>2798</v>
      </c>
      <c r="E220" s="7" t="s">
        <v>2799</v>
      </c>
      <c r="F220" s="8" t="s">
        <v>2562</v>
      </c>
      <c r="G220" s="7"/>
      <c r="H220" s="274">
        <v>45008</v>
      </c>
      <c r="I220" s="275">
        <v>1</v>
      </c>
      <c r="J220" s="276">
        <v>50</v>
      </c>
      <c r="K220" s="276">
        <f>J220/I220</f>
        <v>50</v>
      </c>
      <c r="L220" s="216"/>
    </row>
    <row r="221" spans="2:12" s="215" customFormat="1" ht="15.6">
      <c r="B221" s="272" t="s">
        <v>2494</v>
      </c>
      <c r="C221" s="298" t="s">
        <v>3966</v>
      </c>
      <c r="D221" s="7" t="s">
        <v>3967</v>
      </c>
      <c r="E221" s="10" t="s">
        <v>4127</v>
      </c>
      <c r="F221" s="8" t="s">
        <v>2562</v>
      </c>
      <c r="G221" s="7" t="s">
        <v>3968</v>
      </c>
      <c r="H221" s="272" t="s">
        <v>3969</v>
      </c>
      <c r="I221" s="275">
        <v>1</v>
      </c>
      <c r="J221" s="276">
        <v>62.97</v>
      </c>
      <c r="K221" s="276">
        <f>J221/I221</f>
        <v>62.97</v>
      </c>
      <c r="L221" s="216"/>
    </row>
    <row r="222" spans="2:12" s="215" customFormat="1" ht="15.6">
      <c r="B222" s="289"/>
      <c r="C222" s="299"/>
      <c r="D222" s="279"/>
      <c r="E222" s="279"/>
      <c r="F222" s="279"/>
      <c r="G222" s="279"/>
      <c r="H222" s="279"/>
      <c r="I222" s="281"/>
      <c r="J222" s="281"/>
      <c r="K222" s="281"/>
      <c r="L222" s="216"/>
    </row>
    <row r="223" spans="2:12" s="215" customFormat="1" ht="15.6">
      <c r="B223" s="289"/>
      <c r="C223" s="299"/>
      <c r="D223" s="279"/>
      <c r="E223" s="279"/>
      <c r="F223" s="279"/>
      <c r="G223" s="279"/>
      <c r="H223" s="279"/>
      <c r="I223" s="281"/>
      <c r="J223" s="275" t="s">
        <v>2483</v>
      </c>
      <c r="K223" s="276">
        <f>AVERAGE(K219:K221)</f>
        <v>55.856666666666662</v>
      </c>
      <c r="L223" s="217"/>
    </row>
    <row r="224" spans="2:12" s="215" customFormat="1" ht="15.6">
      <c r="B224" s="289"/>
      <c r="C224" s="299"/>
      <c r="D224" s="279"/>
      <c r="E224" s="279"/>
      <c r="F224" s="279"/>
      <c r="G224" s="279"/>
      <c r="H224" s="279"/>
      <c r="I224" s="281"/>
      <c r="J224" s="275" t="s">
        <v>2484</v>
      </c>
      <c r="K224" s="276">
        <f>MEDIAN(K219:K221)</f>
        <v>54.6</v>
      </c>
      <c r="L224" s="217"/>
    </row>
    <row r="225" spans="2:12" s="215" customFormat="1" ht="15.6">
      <c r="B225" s="289"/>
      <c r="C225" s="299"/>
      <c r="D225" s="279"/>
      <c r="E225" s="279"/>
      <c r="F225" s="279"/>
      <c r="G225" s="279"/>
      <c r="H225" s="279"/>
      <c r="I225" s="281"/>
      <c r="J225" s="292"/>
      <c r="K225" s="293"/>
    </row>
    <row r="226" spans="2:12" s="215" customFormat="1" ht="15.6">
      <c r="B226" s="6" t="s">
        <v>2782</v>
      </c>
      <c r="C226" s="282" t="s">
        <v>2839</v>
      </c>
      <c r="D226" s="284"/>
      <c r="E226" s="284"/>
      <c r="F226" s="284"/>
      <c r="G226" s="284"/>
      <c r="H226" s="285"/>
      <c r="I226" s="286"/>
      <c r="J226" s="271"/>
      <c r="K226" s="271">
        <f>SMALL(K232:K233,1)</f>
        <v>24.5</v>
      </c>
    </row>
    <row r="227" spans="2:12" s="215" customFormat="1" ht="15.6">
      <c r="B227" s="272" t="s">
        <v>2490</v>
      </c>
      <c r="C227" s="296" t="s">
        <v>2840</v>
      </c>
      <c r="D227" s="10" t="s">
        <v>2841</v>
      </c>
      <c r="E227" s="10" t="s">
        <v>2842</v>
      </c>
      <c r="F227" s="8" t="s">
        <v>2562</v>
      </c>
      <c r="G227" s="7"/>
      <c r="H227" s="274">
        <v>44991</v>
      </c>
      <c r="I227" s="295">
        <v>1</v>
      </c>
      <c r="J227" s="276">
        <v>25</v>
      </c>
      <c r="K227" s="276">
        <f>J227/I227</f>
        <v>25</v>
      </c>
      <c r="L227" s="216"/>
    </row>
    <row r="228" spans="2:12" s="215" customFormat="1" ht="15.6">
      <c r="B228" s="272" t="s">
        <v>2491</v>
      </c>
      <c r="C228" s="297" t="s">
        <v>2843</v>
      </c>
      <c r="D228" s="7" t="s">
        <v>2844</v>
      </c>
      <c r="E228" s="7" t="s">
        <v>2845</v>
      </c>
      <c r="F228" s="8" t="s">
        <v>2562</v>
      </c>
      <c r="G228" s="7"/>
      <c r="H228" s="274">
        <v>44991</v>
      </c>
      <c r="I228" s="295">
        <v>1</v>
      </c>
      <c r="J228" s="276">
        <v>30</v>
      </c>
      <c r="K228" s="276">
        <f>J228/I228</f>
        <v>30</v>
      </c>
      <c r="L228" s="216"/>
    </row>
    <row r="229" spans="2:12" s="215" customFormat="1" ht="15.6">
      <c r="B229" s="272" t="s">
        <v>2494</v>
      </c>
      <c r="C229" s="298" t="s">
        <v>2846</v>
      </c>
      <c r="D229" s="7" t="s">
        <v>2847</v>
      </c>
      <c r="E229" s="10" t="s">
        <v>2848</v>
      </c>
      <c r="F229" s="8" t="s">
        <v>2562</v>
      </c>
      <c r="G229" s="7"/>
      <c r="H229" s="274">
        <v>44992</v>
      </c>
      <c r="I229" s="275">
        <v>1</v>
      </c>
      <c r="J229" s="276">
        <v>25</v>
      </c>
      <c r="K229" s="276">
        <f>J229/I229</f>
        <v>25</v>
      </c>
      <c r="L229" s="216"/>
    </row>
    <row r="230" spans="2:12" s="215" customFormat="1" ht="15.6">
      <c r="B230" s="272" t="s">
        <v>2608</v>
      </c>
      <c r="C230" s="298" t="s">
        <v>2849</v>
      </c>
      <c r="D230" s="7" t="s">
        <v>2850</v>
      </c>
      <c r="E230" s="10" t="s">
        <v>2851</v>
      </c>
      <c r="F230" s="8" t="s">
        <v>2562</v>
      </c>
      <c r="G230" s="7"/>
      <c r="H230" s="274">
        <v>44992</v>
      </c>
      <c r="I230" s="275">
        <v>1</v>
      </c>
      <c r="J230" s="276">
        <v>18</v>
      </c>
      <c r="K230" s="276">
        <f>J230/I230</f>
        <v>18</v>
      </c>
      <c r="L230" s="216"/>
    </row>
    <row r="231" spans="2:12" s="215" customFormat="1" ht="15.6">
      <c r="B231" s="289"/>
      <c r="C231" s="299"/>
      <c r="D231" s="279"/>
      <c r="E231" s="279"/>
      <c r="F231" s="279"/>
      <c r="G231" s="279"/>
      <c r="H231" s="279"/>
      <c r="I231" s="281"/>
      <c r="J231" s="281"/>
      <c r="K231" s="281"/>
    </row>
    <row r="232" spans="2:12" s="215" customFormat="1" ht="15.6">
      <c r="B232" s="289"/>
      <c r="C232" s="299"/>
      <c r="D232" s="279"/>
      <c r="E232" s="279"/>
      <c r="F232" s="279"/>
      <c r="G232" s="279"/>
      <c r="H232" s="279"/>
      <c r="I232" s="281"/>
      <c r="J232" s="275" t="s">
        <v>2483</v>
      </c>
      <c r="K232" s="276">
        <f>AVERAGE(K227:K230)</f>
        <v>24.5</v>
      </c>
    </row>
    <row r="233" spans="2:12" s="215" customFormat="1" ht="15.6">
      <c r="B233" s="289"/>
      <c r="C233" s="299"/>
      <c r="D233" s="279"/>
      <c r="E233" s="279"/>
      <c r="F233" s="279"/>
      <c r="G233" s="279"/>
      <c r="H233" s="279"/>
      <c r="I233" s="281"/>
      <c r="J233" s="275" t="s">
        <v>2484</v>
      </c>
      <c r="K233" s="276">
        <f>MEDIAN(K227:K230)</f>
        <v>25</v>
      </c>
    </row>
    <row r="234" spans="2:12" s="215" customFormat="1" ht="15.6">
      <c r="B234" s="289"/>
      <c r="C234" s="299"/>
      <c r="D234" s="279"/>
      <c r="E234" s="279"/>
      <c r="F234" s="279"/>
      <c r="G234" s="279"/>
      <c r="H234" s="279"/>
      <c r="I234" s="281"/>
      <c r="J234" s="292"/>
      <c r="K234" s="293"/>
    </row>
    <row r="235" spans="2:12" s="215" customFormat="1" ht="15.6">
      <c r="B235" s="6" t="s">
        <v>2792</v>
      </c>
      <c r="C235" s="282" t="s">
        <v>2852</v>
      </c>
      <c r="D235" s="284"/>
      <c r="E235" s="284"/>
      <c r="F235" s="284"/>
      <c r="G235" s="284"/>
      <c r="H235" s="285"/>
      <c r="I235" s="286"/>
      <c r="J235" s="271"/>
      <c r="K235" s="271">
        <f>SMALL(K241:K242,1)</f>
        <v>17.5</v>
      </c>
    </row>
    <row r="236" spans="2:12" s="215" customFormat="1" ht="15.6">
      <c r="B236" s="272" t="s">
        <v>2490</v>
      </c>
      <c r="C236" s="296" t="s">
        <v>2853</v>
      </c>
      <c r="D236" s="10" t="s">
        <v>2854</v>
      </c>
      <c r="E236" s="10" t="s">
        <v>2855</v>
      </c>
      <c r="F236" s="8" t="s">
        <v>2562</v>
      </c>
      <c r="G236" s="7"/>
      <c r="H236" s="274">
        <v>44991</v>
      </c>
      <c r="I236" s="295">
        <v>1</v>
      </c>
      <c r="J236" s="276">
        <v>15</v>
      </c>
      <c r="K236" s="276">
        <f>J236/I236</f>
        <v>15</v>
      </c>
      <c r="L236" s="216"/>
    </row>
    <row r="237" spans="2:12" s="215" customFormat="1" ht="15.6">
      <c r="B237" s="272" t="s">
        <v>2491</v>
      </c>
      <c r="C237" s="296" t="s">
        <v>2840</v>
      </c>
      <c r="D237" s="10" t="s">
        <v>2841</v>
      </c>
      <c r="E237" s="10" t="s">
        <v>2842</v>
      </c>
      <c r="F237" s="8" t="s">
        <v>2562</v>
      </c>
      <c r="G237" s="7"/>
      <c r="H237" s="274">
        <v>44991</v>
      </c>
      <c r="I237" s="295">
        <v>1</v>
      </c>
      <c r="J237" s="276">
        <v>20</v>
      </c>
      <c r="K237" s="276">
        <f>J237/I237</f>
        <v>20</v>
      </c>
      <c r="L237" s="216"/>
    </row>
    <row r="238" spans="2:12" s="215" customFormat="1" ht="15.6">
      <c r="B238" s="272" t="s">
        <v>2494</v>
      </c>
      <c r="C238" s="298" t="s">
        <v>2846</v>
      </c>
      <c r="D238" s="7" t="s">
        <v>2847</v>
      </c>
      <c r="E238" s="10" t="s">
        <v>2848</v>
      </c>
      <c r="F238" s="8" t="s">
        <v>2562</v>
      </c>
      <c r="G238" s="7"/>
      <c r="H238" s="274">
        <v>44992</v>
      </c>
      <c r="I238" s="275">
        <v>1</v>
      </c>
      <c r="J238" s="276">
        <v>20</v>
      </c>
      <c r="K238" s="276">
        <f>J238/I238</f>
        <v>20</v>
      </c>
      <c r="L238" s="216"/>
    </row>
    <row r="239" spans="2:12" s="215" customFormat="1" ht="15.6">
      <c r="B239" s="272" t="s">
        <v>2608</v>
      </c>
      <c r="C239" s="298" t="s">
        <v>2849</v>
      </c>
      <c r="D239" s="7" t="s">
        <v>2850</v>
      </c>
      <c r="E239" s="10" t="s">
        <v>2851</v>
      </c>
      <c r="F239" s="8" t="s">
        <v>2562</v>
      </c>
      <c r="G239" s="7"/>
      <c r="H239" s="274">
        <v>44992</v>
      </c>
      <c r="I239" s="275">
        <v>1</v>
      </c>
      <c r="J239" s="276">
        <v>15</v>
      </c>
      <c r="K239" s="276">
        <f>J239/I239</f>
        <v>15</v>
      </c>
      <c r="L239" s="216"/>
    </row>
    <row r="240" spans="2:12" s="215" customFormat="1" ht="15.6">
      <c r="B240" s="289"/>
      <c r="C240" s="299"/>
      <c r="D240" s="279"/>
      <c r="E240" s="279"/>
      <c r="F240" s="279"/>
      <c r="G240" s="279"/>
      <c r="H240" s="279"/>
      <c r="I240" s="281"/>
      <c r="J240" s="281"/>
      <c r="K240" s="281"/>
    </row>
    <row r="241" spans="2:12" s="215" customFormat="1" ht="15.6">
      <c r="B241" s="289"/>
      <c r="C241" s="299"/>
      <c r="D241" s="279"/>
      <c r="E241" s="279"/>
      <c r="F241" s="279"/>
      <c r="G241" s="279"/>
      <c r="H241" s="279"/>
      <c r="I241" s="281"/>
      <c r="J241" s="275" t="s">
        <v>2483</v>
      </c>
      <c r="K241" s="276">
        <f>AVERAGE(K236:K239)</f>
        <v>17.5</v>
      </c>
    </row>
    <row r="242" spans="2:12" s="215" customFormat="1" ht="15.6">
      <c r="B242" s="289"/>
      <c r="C242" s="299"/>
      <c r="D242" s="279"/>
      <c r="E242" s="279"/>
      <c r="F242" s="279"/>
      <c r="G242" s="279"/>
      <c r="H242" s="279"/>
      <c r="I242" s="281"/>
      <c r="J242" s="275" t="s">
        <v>2484</v>
      </c>
      <c r="K242" s="276">
        <f>MEDIAN(K236:K239)</f>
        <v>17.5</v>
      </c>
    </row>
    <row r="243" spans="2:12" s="215" customFormat="1" ht="15.6">
      <c r="B243" s="289"/>
      <c r="C243" s="299"/>
      <c r="D243" s="279"/>
      <c r="E243" s="279"/>
      <c r="F243" s="279"/>
      <c r="G243" s="279"/>
      <c r="H243" s="279"/>
      <c r="I243" s="281"/>
      <c r="J243" s="292"/>
      <c r="K243" s="293"/>
    </row>
    <row r="244" spans="2:12" s="215" customFormat="1" ht="15.6">
      <c r="B244" s="6" t="s">
        <v>2901</v>
      </c>
      <c r="C244" s="282" t="s">
        <v>3951</v>
      </c>
      <c r="D244" s="284"/>
      <c r="E244" s="284"/>
      <c r="F244" s="284"/>
      <c r="G244" s="284"/>
      <c r="H244" s="285"/>
      <c r="I244" s="286"/>
      <c r="J244" s="271"/>
      <c r="K244" s="271">
        <f>SMALL(K249:K250,1)</f>
        <v>101.16666666666667</v>
      </c>
    </row>
    <row r="245" spans="2:12" s="215" customFormat="1" ht="15.6">
      <c r="B245" s="272" t="s">
        <v>2490</v>
      </c>
      <c r="C245" s="296" t="s">
        <v>2803</v>
      </c>
      <c r="D245" s="7" t="s">
        <v>2804</v>
      </c>
      <c r="E245" s="7" t="s">
        <v>2876</v>
      </c>
      <c r="F245" s="8" t="s">
        <v>2562</v>
      </c>
      <c r="G245" s="7"/>
      <c r="H245" s="274">
        <v>45016</v>
      </c>
      <c r="I245" s="295">
        <v>1</v>
      </c>
      <c r="J245" s="276">
        <v>89</v>
      </c>
      <c r="K245" s="276">
        <f>J245/I245</f>
        <v>89</v>
      </c>
      <c r="L245" s="216"/>
    </row>
    <row r="246" spans="2:12" s="215" customFormat="1" ht="15.6">
      <c r="B246" s="272" t="s">
        <v>2491</v>
      </c>
      <c r="C246" s="296" t="s">
        <v>2879</v>
      </c>
      <c r="D246" s="7" t="s">
        <v>2877</v>
      </c>
      <c r="E246" s="7" t="s">
        <v>2878</v>
      </c>
      <c r="F246" s="8" t="s">
        <v>2562</v>
      </c>
      <c r="G246" s="7"/>
      <c r="H246" s="274">
        <v>45016</v>
      </c>
      <c r="I246" s="295">
        <v>1</v>
      </c>
      <c r="J246" s="276">
        <v>111.6</v>
      </c>
      <c r="K246" s="276">
        <f>J246/I246</f>
        <v>111.6</v>
      </c>
      <c r="L246" s="216"/>
    </row>
    <row r="247" spans="2:12" s="215" customFormat="1" ht="15.6">
      <c r="B247" s="272" t="s">
        <v>2494</v>
      </c>
      <c r="C247" s="6" t="s">
        <v>2880</v>
      </c>
      <c r="D247" s="7" t="s">
        <v>2881</v>
      </c>
      <c r="E247" s="7" t="s">
        <v>2882</v>
      </c>
      <c r="F247" s="8" t="s">
        <v>2562</v>
      </c>
      <c r="G247" s="7"/>
      <c r="H247" s="274">
        <v>45016</v>
      </c>
      <c r="I247" s="275">
        <v>1</v>
      </c>
      <c r="J247" s="276">
        <v>102.9</v>
      </c>
      <c r="K247" s="276">
        <f>J247/I247</f>
        <v>102.9</v>
      </c>
      <c r="L247" s="216"/>
    </row>
    <row r="248" spans="2:12" s="215" customFormat="1" ht="15.6">
      <c r="B248" s="289"/>
      <c r="C248" s="278"/>
      <c r="D248" s="279"/>
      <c r="E248" s="279"/>
      <c r="F248" s="279"/>
      <c r="G248" s="279"/>
      <c r="H248" s="279"/>
      <c r="I248" s="281"/>
      <c r="J248" s="281"/>
      <c r="K248" s="281"/>
      <c r="L248" s="216"/>
    </row>
    <row r="249" spans="2:12" s="215" customFormat="1" ht="15.6">
      <c r="B249" s="289"/>
      <c r="C249" s="278"/>
      <c r="D249" s="279"/>
      <c r="E249" s="279"/>
      <c r="F249" s="279"/>
      <c r="G249" s="279"/>
      <c r="H249" s="279"/>
      <c r="I249" s="281"/>
      <c r="J249" s="275" t="s">
        <v>2483</v>
      </c>
      <c r="K249" s="276">
        <f>AVERAGE(K245:K247)</f>
        <v>101.16666666666667</v>
      </c>
    </row>
    <row r="250" spans="2:12" s="215" customFormat="1" ht="15.6">
      <c r="B250" s="289"/>
      <c r="C250" s="278"/>
      <c r="D250" s="279"/>
      <c r="E250" s="279"/>
      <c r="F250" s="279"/>
      <c r="G250" s="279"/>
      <c r="H250" s="279"/>
      <c r="I250" s="281"/>
      <c r="J250" s="275" t="s">
        <v>2484</v>
      </c>
      <c r="K250" s="276">
        <f>MEDIAN(K245:K247)</f>
        <v>102.9</v>
      </c>
    </row>
    <row r="251" spans="2:12" s="215" customFormat="1" ht="15.6">
      <c r="B251" s="304"/>
      <c r="C251" s="305"/>
      <c r="D251" s="306"/>
      <c r="E251" s="304"/>
      <c r="F251" s="304"/>
      <c r="G251" s="307"/>
      <c r="H251" s="308"/>
      <c r="I251" s="309"/>
      <c r="J251" s="309"/>
      <c r="K251" s="310"/>
    </row>
    <row r="252" spans="2:12" s="215" customFormat="1" ht="15.6">
      <c r="B252" s="6" t="s">
        <v>2902</v>
      </c>
      <c r="C252" s="282" t="s">
        <v>2903</v>
      </c>
      <c r="D252" s="284"/>
      <c r="E252" s="284"/>
      <c r="F252" s="284"/>
      <c r="G252" s="284"/>
      <c r="H252" s="285"/>
      <c r="I252" s="286"/>
      <c r="J252" s="271"/>
      <c r="K252" s="271">
        <f>SMALL(K257:K258,1)</f>
        <v>10.320625</v>
      </c>
    </row>
    <row r="253" spans="2:12" s="215" customFormat="1" ht="15.6">
      <c r="B253" s="272" t="s">
        <v>2490</v>
      </c>
      <c r="C253" s="296" t="s">
        <v>3422</v>
      </c>
      <c r="D253" s="7" t="s">
        <v>3423</v>
      </c>
      <c r="E253" s="7" t="s">
        <v>3424</v>
      </c>
      <c r="F253" s="8" t="s">
        <v>2562</v>
      </c>
      <c r="G253" s="7">
        <v>3213</v>
      </c>
      <c r="H253" s="274">
        <v>45061</v>
      </c>
      <c r="I253" s="295">
        <v>16</v>
      </c>
      <c r="J253" s="276">
        <v>165.13</v>
      </c>
      <c r="K253" s="276">
        <f>J253/I253</f>
        <v>10.320625</v>
      </c>
      <c r="L253" s="216"/>
    </row>
    <row r="254" spans="2:12" s="215" customFormat="1" ht="15.6">
      <c r="B254" s="272" t="s">
        <v>2491</v>
      </c>
      <c r="C254" s="352" t="s">
        <v>2575</v>
      </c>
      <c r="D254" s="7" t="s">
        <v>2806</v>
      </c>
      <c r="E254" s="7" t="s">
        <v>2493</v>
      </c>
      <c r="F254" s="8" t="s">
        <v>2562</v>
      </c>
      <c r="G254" s="294" t="s">
        <v>3970</v>
      </c>
      <c r="H254" s="274">
        <v>45107</v>
      </c>
      <c r="I254" s="295">
        <v>1</v>
      </c>
      <c r="J254" s="276">
        <v>10.18</v>
      </c>
      <c r="K254" s="276">
        <f>J254/I254</f>
        <v>10.18</v>
      </c>
      <c r="L254" s="216"/>
    </row>
    <row r="255" spans="2:12" s="215" customFormat="1" ht="15.6">
      <c r="B255" s="272" t="s">
        <v>2494</v>
      </c>
      <c r="C255" s="6" t="s">
        <v>3953</v>
      </c>
      <c r="D255" s="10" t="s">
        <v>3425</v>
      </c>
      <c r="E255" s="7" t="s">
        <v>3426</v>
      </c>
      <c r="F255" s="8" t="s">
        <v>2562</v>
      </c>
      <c r="G255" s="7">
        <v>5868</v>
      </c>
      <c r="H255" s="274">
        <v>45092</v>
      </c>
      <c r="I255" s="275">
        <v>1</v>
      </c>
      <c r="J255" s="276">
        <v>11.98</v>
      </c>
      <c r="K255" s="276">
        <f>J255/I255</f>
        <v>11.98</v>
      </c>
      <c r="L255" s="216"/>
    </row>
    <row r="256" spans="2:12" s="215" customFormat="1" ht="15.6">
      <c r="B256" s="552" t="s">
        <v>3952</v>
      </c>
      <c r="C256" s="552"/>
      <c r="D256" s="552"/>
      <c r="E256" s="552"/>
      <c r="F256" s="552"/>
      <c r="G256" s="552"/>
      <c r="H256" s="552"/>
      <c r="I256" s="281"/>
      <c r="J256" s="281"/>
      <c r="K256" s="281"/>
      <c r="L256" s="216"/>
    </row>
    <row r="257" spans="2:12" s="215" customFormat="1" ht="15.6">
      <c r="B257" s="289"/>
      <c r="C257" s="278"/>
      <c r="D257" s="279"/>
      <c r="E257" s="279"/>
      <c r="F257" s="279"/>
      <c r="G257" s="279"/>
      <c r="H257" s="279"/>
      <c r="I257" s="281"/>
      <c r="J257" s="275" t="s">
        <v>2483</v>
      </c>
      <c r="K257" s="276">
        <f>AVERAGE(K253:K255)</f>
        <v>10.826875000000001</v>
      </c>
    </row>
    <row r="258" spans="2:12" s="215" customFormat="1" ht="15.6">
      <c r="B258" s="289"/>
      <c r="C258" s="278"/>
      <c r="D258" s="279"/>
      <c r="E258" s="279"/>
      <c r="F258" s="279"/>
      <c r="G258" s="279"/>
      <c r="H258" s="279"/>
      <c r="I258" s="281"/>
      <c r="J258" s="275" t="s">
        <v>2484</v>
      </c>
      <c r="K258" s="276">
        <f>MEDIAN(K253:K255)</f>
        <v>10.320625</v>
      </c>
    </row>
    <row r="259" spans="2:12" s="215" customFormat="1" ht="15.6">
      <c r="B259" s="311"/>
      <c r="C259" s="312"/>
      <c r="D259" s="310"/>
      <c r="E259" s="310"/>
      <c r="F259" s="310"/>
      <c r="G259" s="310"/>
      <c r="H259" s="313"/>
      <c r="I259" s="313"/>
      <c r="J259" s="313"/>
      <c r="K259" s="310"/>
    </row>
    <row r="260" spans="2:12" s="215" customFormat="1" ht="15.6">
      <c r="B260" s="6" t="s">
        <v>2904</v>
      </c>
      <c r="C260" s="282" t="s">
        <v>3956</v>
      </c>
      <c r="D260" s="284"/>
      <c r="E260" s="284"/>
      <c r="F260" s="284"/>
      <c r="G260" s="284"/>
      <c r="H260" s="285"/>
      <c r="I260" s="286"/>
      <c r="J260" s="271"/>
      <c r="K260" s="271">
        <f>SMALL(K265:K266,1)</f>
        <v>1.829375</v>
      </c>
      <c r="L260" s="216"/>
    </row>
    <row r="261" spans="2:12" s="215" customFormat="1" ht="15.6">
      <c r="B261" s="272" t="s">
        <v>2490</v>
      </c>
      <c r="C261" s="296" t="s">
        <v>3422</v>
      </c>
      <c r="D261" s="7" t="s">
        <v>3423</v>
      </c>
      <c r="E261" s="7" t="s">
        <v>3424</v>
      </c>
      <c r="F261" s="8" t="s">
        <v>2562</v>
      </c>
      <c r="G261" s="7" t="s">
        <v>3427</v>
      </c>
      <c r="H261" s="274">
        <v>45061</v>
      </c>
      <c r="I261" s="295">
        <v>16</v>
      </c>
      <c r="J261" s="276">
        <v>29.27</v>
      </c>
      <c r="K261" s="276">
        <f>J261/I261</f>
        <v>1.829375</v>
      </c>
      <c r="L261" s="216"/>
    </row>
    <row r="262" spans="2:12" s="215" customFormat="1" ht="15.6">
      <c r="B262" s="272" t="s">
        <v>2491</v>
      </c>
      <c r="C262" s="296" t="s">
        <v>3428</v>
      </c>
      <c r="D262" s="7" t="s">
        <v>3430</v>
      </c>
      <c r="E262" s="7" t="s">
        <v>3429</v>
      </c>
      <c r="F262" s="8" t="s">
        <v>2562</v>
      </c>
      <c r="G262" s="7">
        <v>41448</v>
      </c>
      <c r="H262" s="274">
        <v>45062</v>
      </c>
      <c r="I262" s="295">
        <v>1</v>
      </c>
      <c r="J262" s="276">
        <v>2.21</v>
      </c>
      <c r="K262" s="276">
        <f>J262/I262</f>
        <v>2.21</v>
      </c>
      <c r="L262" s="216"/>
    </row>
    <row r="263" spans="2:12" s="215" customFormat="1" ht="15.6">
      <c r="B263" s="272" t="s">
        <v>2494</v>
      </c>
      <c r="C263" s="6" t="s">
        <v>3971</v>
      </c>
      <c r="D263" s="7" t="s">
        <v>3972</v>
      </c>
      <c r="E263" s="7" t="s">
        <v>3973</v>
      </c>
      <c r="F263" s="8" t="s">
        <v>2562</v>
      </c>
      <c r="G263" s="7">
        <v>1379</v>
      </c>
      <c r="H263" s="274">
        <v>45107</v>
      </c>
      <c r="I263" s="275">
        <v>1</v>
      </c>
      <c r="J263" s="276">
        <v>1.76</v>
      </c>
      <c r="K263" s="276">
        <f>J263/I263</f>
        <v>1.76</v>
      </c>
      <c r="L263" s="216"/>
    </row>
    <row r="264" spans="2:12" s="215" customFormat="1" ht="15.6">
      <c r="B264" s="552" t="s">
        <v>3952</v>
      </c>
      <c r="C264" s="552"/>
      <c r="D264" s="552"/>
      <c r="E264" s="552"/>
      <c r="F264" s="552"/>
      <c r="G264" s="552"/>
      <c r="H264" s="552"/>
      <c r="I264" s="281"/>
      <c r="J264" s="281"/>
      <c r="K264" s="281"/>
      <c r="L264" s="216"/>
    </row>
    <row r="265" spans="2:12" s="215" customFormat="1" ht="15.6">
      <c r="B265" s="289"/>
      <c r="C265" s="278"/>
      <c r="D265" s="279"/>
      <c r="E265" s="279"/>
      <c r="F265" s="279"/>
      <c r="G265" s="279"/>
      <c r="H265" s="279"/>
      <c r="I265" s="281"/>
      <c r="J265" s="275" t="s">
        <v>2483</v>
      </c>
      <c r="K265" s="276">
        <f>AVERAGE(K261:K263)</f>
        <v>1.9331249999999998</v>
      </c>
    </row>
    <row r="266" spans="2:12" s="215" customFormat="1" ht="15.6">
      <c r="B266" s="289"/>
      <c r="C266" s="278"/>
      <c r="D266" s="279"/>
      <c r="E266" s="279"/>
      <c r="F266" s="279"/>
      <c r="G266" s="279"/>
      <c r="H266" s="279"/>
      <c r="I266" s="281"/>
      <c r="J266" s="275" t="s">
        <v>2484</v>
      </c>
      <c r="K266" s="276">
        <f>MEDIAN(K261:K263)</f>
        <v>1.829375</v>
      </c>
    </row>
    <row r="267" spans="2:12" s="215" customFormat="1" ht="15.6">
      <c r="B267" s="311"/>
      <c r="C267" s="312"/>
      <c r="D267" s="310"/>
      <c r="E267" s="310"/>
      <c r="F267" s="310"/>
      <c r="G267" s="310"/>
      <c r="H267" s="313"/>
      <c r="I267" s="313"/>
      <c r="J267" s="313"/>
      <c r="K267" s="310"/>
    </row>
    <row r="268" spans="2:12" s="215" customFormat="1" ht="15.6">
      <c r="B268" s="6" t="s">
        <v>2906</v>
      </c>
      <c r="C268" s="282" t="s">
        <v>2907</v>
      </c>
      <c r="D268" s="284"/>
      <c r="E268" s="284"/>
      <c r="F268" s="284"/>
      <c r="G268" s="284"/>
      <c r="H268" s="285"/>
      <c r="I268" s="286"/>
      <c r="J268" s="271"/>
      <c r="K268" s="271">
        <f>SMALL(K273:K274,1)</f>
        <v>1.5415749999999999</v>
      </c>
      <c r="L268" s="216"/>
    </row>
    <row r="269" spans="2:12" s="215" customFormat="1" ht="15.6">
      <c r="B269" s="272" t="s">
        <v>2490</v>
      </c>
      <c r="C269" s="296" t="s">
        <v>3422</v>
      </c>
      <c r="D269" s="7" t="s">
        <v>3423</v>
      </c>
      <c r="E269" s="7" t="s">
        <v>3424</v>
      </c>
      <c r="F269" s="8" t="s">
        <v>2562</v>
      </c>
      <c r="G269" s="7">
        <v>2455</v>
      </c>
      <c r="H269" s="274">
        <v>45061</v>
      </c>
      <c r="I269" s="295">
        <v>16</v>
      </c>
      <c r="J269" s="276">
        <v>17.25</v>
      </c>
      <c r="K269" s="276">
        <f>J269/I269</f>
        <v>1.078125</v>
      </c>
      <c r="L269" s="216"/>
    </row>
    <row r="270" spans="2:12" s="215" customFormat="1" ht="15.6">
      <c r="B270" s="272" t="s">
        <v>2491</v>
      </c>
      <c r="C270" s="296" t="s">
        <v>3433</v>
      </c>
      <c r="D270" s="7" t="s">
        <v>3434</v>
      </c>
      <c r="E270" s="7" t="s">
        <v>3435</v>
      </c>
      <c r="F270" s="8" t="s">
        <v>2562</v>
      </c>
      <c r="G270" s="7">
        <v>24199</v>
      </c>
      <c r="H270" s="274">
        <v>45062</v>
      </c>
      <c r="I270" s="295">
        <v>1</v>
      </c>
      <c r="J270" s="276">
        <v>1.86</v>
      </c>
      <c r="K270" s="276">
        <f>J270/I270</f>
        <v>1.86</v>
      </c>
      <c r="L270" s="216"/>
    </row>
    <row r="271" spans="2:12" s="215" customFormat="1" ht="15.6">
      <c r="B271" s="272" t="s">
        <v>2494</v>
      </c>
      <c r="C271" s="297" t="s">
        <v>2575</v>
      </c>
      <c r="D271" s="7" t="s">
        <v>2806</v>
      </c>
      <c r="E271" s="7" t="s">
        <v>2493</v>
      </c>
      <c r="F271" s="8" t="s">
        <v>2562</v>
      </c>
      <c r="G271" s="7" t="s">
        <v>3436</v>
      </c>
      <c r="H271" s="274">
        <v>45062</v>
      </c>
      <c r="I271" s="275">
        <v>50</v>
      </c>
      <c r="J271" s="276">
        <v>84.33</v>
      </c>
      <c r="K271" s="276">
        <f>J271/I271</f>
        <v>1.6865999999999999</v>
      </c>
      <c r="L271" s="216"/>
    </row>
    <row r="272" spans="2:12" s="215" customFormat="1" ht="15.6">
      <c r="B272" s="552" t="s">
        <v>3952</v>
      </c>
      <c r="C272" s="552"/>
      <c r="D272" s="552"/>
      <c r="E272" s="552"/>
      <c r="F272" s="552"/>
      <c r="G272" s="552"/>
      <c r="H272" s="552"/>
      <c r="I272" s="281"/>
      <c r="J272" s="281"/>
      <c r="K272" s="281"/>
      <c r="L272" s="216"/>
    </row>
    <row r="273" spans="2:12" s="215" customFormat="1" ht="15.6">
      <c r="B273" s="289"/>
      <c r="C273" s="278"/>
      <c r="D273" s="279"/>
      <c r="E273" s="279"/>
      <c r="F273" s="279"/>
      <c r="G273" s="279"/>
      <c r="H273" s="279"/>
      <c r="I273" s="281"/>
      <c r="J273" s="275" t="s">
        <v>2483</v>
      </c>
      <c r="K273" s="276">
        <f>AVERAGE(K269:K271)</f>
        <v>1.5415749999999999</v>
      </c>
    </row>
    <row r="274" spans="2:12" s="215" customFormat="1" ht="15.6">
      <c r="B274" s="289"/>
      <c r="C274" s="278"/>
      <c r="D274" s="279"/>
      <c r="E274" s="279"/>
      <c r="F274" s="279"/>
      <c r="G274" s="279"/>
      <c r="H274" s="279"/>
      <c r="I274" s="281"/>
      <c r="J274" s="275" t="s">
        <v>2484</v>
      </c>
      <c r="K274" s="276">
        <f>MEDIAN(K269:K271)</f>
        <v>1.6865999999999999</v>
      </c>
    </row>
    <row r="275" spans="2:12" s="215" customFormat="1" ht="15.6">
      <c r="B275" s="311"/>
      <c r="C275" s="312"/>
      <c r="D275" s="310"/>
      <c r="E275" s="310"/>
      <c r="F275" s="310"/>
      <c r="G275" s="314"/>
      <c r="H275" s="313"/>
      <c r="I275" s="315"/>
      <c r="J275" s="316"/>
      <c r="K275" s="310"/>
    </row>
    <row r="276" spans="2:12" s="215" customFormat="1" ht="15.6">
      <c r="B276" s="6" t="s">
        <v>2912</v>
      </c>
      <c r="C276" s="282" t="s">
        <v>2908</v>
      </c>
      <c r="D276" s="284"/>
      <c r="E276" s="284"/>
      <c r="F276" s="284"/>
      <c r="G276" s="284"/>
      <c r="H276" s="285"/>
      <c r="I276" s="286"/>
      <c r="J276" s="271"/>
      <c r="K276" s="271">
        <f>SMALL(K281:K282,1)</f>
        <v>0.76</v>
      </c>
    </row>
    <row r="277" spans="2:12" s="215" customFormat="1" ht="15.6">
      <c r="B277" s="272" t="s">
        <v>2490</v>
      </c>
      <c r="C277" s="296" t="s">
        <v>3422</v>
      </c>
      <c r="D277" s="7" t="s">
        <v>3423</v>
      </c>
      <c r="E277" s="7" t="s">
        <v>3424</v>
      </c>
      <c r="F277" s="8" t="s">
        <v>2562</v>
      </c>
      <c r="G277" s="7" t="s">
        <v>3438</v>
      </c>
      <c r="H277" s="274">
        <v>45061</v>
      </c>
      <c r="I277" s="295">
        <v>16</v>
      </c>
      <c r="J277" s="276">
        <v>11.45</v>
      </c>
      <c r="K277" s="276">
        <f>J277/I277</f>
        <v>0.71562499999999996</v>
      </c>
      <c r="L277" s="216"/>
    </row>
    <row r="278" spans="2:12" s="215" customFormat="1" ht="15.6">
      <c r="B278" s="272" t="s">
        <v>2491</v>
      </c>
      <c r="C278" s="323" t="s">
        <v>3440</v>
      </c>
      <c r="D278" s="7" t="s">
        <v>3439</v>
      </c>
      <c r="E278" s="7" t="s">
        <v>3441</v>
      </c>
      <c r="F278" s="8" t="s">
        <v>2562</v>
      </c>
      <c r="G278" s="7">
        <v>781053</v>
      </c>
      <c r="H278" s="274">
        <v>45062</v>
      </c>
      <c r="I278" s="295">
        <v>1</v>
      </c>
      <c r="J278" s="276">
        <v>0.76</v>
      </c>
      <c r="K278" s="276">
        <f>J278/I278</f>
        <v>0.76</v>
      </c>
      <c r="L278" s="216"/>
    </row>
    <row r="279" spans="2:12" s="215" customFormat="1" ht="15.6">
      <c r="B279" s="272" t="s">
        <v>2494</v>
      </c>
      <c r="C279" s="352" t="s">
        <v>2575</v>
      </c>
      <c r="D279" s="7" t="s">
        <v>2806</v>
      </c>
      <c r="E279" s="7" t="s">
        <v>2493</v>
      </c>
      <c r="F279" s="8" t="s">
        <v>2562</v>
      </c>
      <c r="G279" s="7" t="s">
        <v>3987</v>
      </c>
      <c r="H279" s="272" t="s">
        <v>3988</v>
      </c>
      <c r="I279" s="275">
        <v>1</v>
      </c>
      <c r="J279" s="276">
        <v>0.87</v>
      </c>
      <c r="K279" s="276">
        <f>J279/I279</f>
        <v>0.87</v>
      </c>
      <c r="L279" s="216"/>
    </row>
    <row r="280" spans="2:12" s="215" customFormat="1" ht="15.6">
      <c r="B280" s="552" t="s">
        <v>3952</v>
      </c>
      <c r="C280" s="552"/>
      <c r="D280" s="552"/>
      <c r="E280" s="552"/>
      <c r="F280" s="552"/>
      <c r="G280" s="552"/>
      <c r="H280" s="552"/>
      <c r="I280" s="281"/>
      <c r="J280" s="281"/>
      <c r="K280" s="281"/>
      <c r="L280" s="216"/>
    </row>
    <row r="281" spans="2:12" s="215" customFormat="1" ht="15.6">
      <c r="B281" s="289"/>
      <c r="C281" s="278"/>
      <c r="D281" s="279"/>
      <c r="E281" s="279"/>
      <c r="F281" s="279"/>
      <c r="G281" s="279"/>
      <c r="H281" s="279"/>
      <c r="I281" s="281"/>
      <c r="J281" s="275" t="s">
        <v>2483</v>
      </c>
      <c r="K281" s="276">
        <f>AVERAGE(K277:K279)</f>
        <v>0.78187499999999999</v>
      </c>
    </row>
    <row r="282" spans="2:12" s="215" customFormat="1" ht="15.6">
      <c r="B282" s="289"/>
      <c r="C282" s="278"/>
      <c r="D282" s="279"/>
      <c r="E282" s="279"/>
      <c r="F282" s="279"/>
      <c r="G282" s="279"/>
      <c r="H282" s="279"/>
      <c r="I282" s="281"/>
      <c r="J282" s="275" t="s">
        <v>2484</v>
      </c>
      <c r="K282" s="276">
        <f>MEDIAN(K277:K279)</f>
        <v>0.76</v>
      </c>
    </row>
    <row r="283" spans="2:12" s="215" customFormat="1" ht="15.6">
      <c r="B283" s="311"/>
      <c r="C283" s="312"/>
      <c r="D283" s="310"/>
      <c r="E283" s="310"/>
      <c r="F283" s="310"/>
      <c r="G283" s="310"/>
      <c r="H283" s="313"/>
      <c r="I283" s="315"/>
      <c r="J283" s="316"/>
      <c r="K283" s="310"/>
    </row>
    <row r="284" spans="2:12" s="215" customFormat="1" ht="15.6">
      <c r="B284" s="6" t="s">
        <v>2915</v>
      </c>
      <c r="C284" s="282" t="s">
        <v>3955</v>
      </c>
      <c r="D284" s="284"/>
      <c r="E284" s="284"/>
      <c r="F284" s="284"/>
      <c r="G284" s="284"/>
      <c r="H284" s="285"/>
      <c r="I284" s="286"/>
      <c r="J284" s="271"/>
      <c r="K284" s="271">
        <f>SMALL(K289:K290,1)</f>
        <v>4.0683333333333334</v>
      </c>
    </row>
    <row r="285" spans="2:12" s="215" customFormat="1" ht="15.6">
      <c r="B285" s="272" t="s">
        <v>2490</v>
      </c>
      <c r="C285" s="296" t="s">
        <v>3422</v>
      </c>
      <c r="D285" s="7" t="s">
        <v>3423</v>
      </c>
      <c r="E285" s="7" t="s">
        <v>3424</v>
      </c>
      <c r="F285" s="8" t="s">
        <v>2114</v>
      </c>
      <c r="G285" s="7" t="s">
        <v>3444</v>
      </c>
      <c r="H285" s="274">
        <v>45061</v>
      </c>
      <c r="I285" s="295">
        <v>6</v>
      </c>
      <c r="J285" s="276">
        <v>24.41</v>
      </c>
      <c r="K285" s="276">
        <f>J285/I285</f>
        <v>4.0683333333333334</v>
      </c>
      <c r="L285" s="216"/>
    </row>
    <row r="286" spans="2:12" s="215" customFormat="1" ht="31.2">
      <c r="B286" s="272" t="s">
        <v>2491</v>
      </c>
      <c r="C286" s="317" t="s">
        <v>3446</v>
      </c>
      <c r="D286" s="7" t="s">
        <v>3445</v>
      </c>
      <c r="E286" s="7" t="s">
        <v>3954</v>
      </c>
      <c r="F286" s="8" t="s">
        <v>2114</v>
      </c>
      <c r="G286" s="7" t="s">
        <v>3444</v>
      </c>
      <c r="H286" s="274">
        <v>45062</v>
      </c>
      <c r="I286" s="295">
        <v>6</v>
      </c>
      <c r="J286" s="276">
        <v>27.56</v>
      </c>
      <c r="K286" s="276">
        <f>J286/I286</f>
        <v>4.5933333333333328</v>
      </c>
      <c r="L286" s="216"/>
    </row>
    <row r="287" spans="2:12" s="215" customFormat="1" ht="15.6">
      <c r="B287" s="272" t="s">
        <v>2494</v>
      </c>
      <c r="C287" s="6" t="s">
        <v>3447</v>
      </c>
      <c r="D287" s="7" t="s">
        <v>3448</v>
      </c>
      <c r="E287" s="7" t="s">
        <v>3449</v>
      </c>
      <c r="F287" s="8" t="s">
        <v>2114</v>
      </c>
      <c r="G287" s="7" t="s">
        <v>3443</v>
      </c>
      <c r="H287" s="274">
        <v>45111</v>
      </c>
      <c r="I287" s="275">
        <v>6</v>
      </c>
      <c r="J287" s="276">
        <v>22</v>
      </c>
      <c r="K287" s="276">
        <f>J287/I287</f>
        <v>3.6666666666666665</v>
      </c>
      <c r="L287" s="216"/>
    </row>
    <row r="288" spans="2:12" s="215" customFormat="1" ht="15.6">
      <c r="B288" s="552" t="s">
        <v>3952</v>
      </c>
      <c r="C288" s="552"/>
      <c r="D288" s="552"/>
      <c r="E288" s="552"/>
      <c r="F288" s="552"/>
      <c r="G288" s="552"/>
      <c r="H288" s="552"/>
      <c r="I288" s="281"/>
      <c r="J288" s="281"/>
      <c r="K288" s="281"/>
      <c r="L288" s="216"/>
    </row>
    <row r="289" spans="2:12" s="215" customFormat="1" ht="15.6">
      <c r="B289" s="289"/>
      <c r="C289" s="278"/>
      <c r="D289" s="279"/>
      <c r="E289" s="279"/>
      <c r="F289" s="279"/>
      <c r="G289" s="279"/>
      <c r="H289" s="279"/>
      <c r="I289" s="281"/>
      <c r="J289" s="275" t="s">
        <v>2483</v>
      </c>
      <c r="K289" s="276">
        <f>AVERAGE(K285:K287)</f>
        <v>4.1094444444444438</v>
      </c>
    </row>
    <row r="290" spans="2:12" s="215" customFormat="1" ht="15.6">
      <c r="B290" s="289"/>
      <c r="C290" s="278"/>
      <c r="D290" s="279"/>
      <c r="E290" s="279"/>
      <c r="F290" s="279"/>
      <c r="G290" s="279"/>
      <c r="H290" s="279"/>
      <c r="I290" s="281"/>
      <c r="J290" s="275" t="s">
        <v>2484</v>
      </c>
      <c r="K290" s="276">
        <f>MEDIAN(K285:K287)</f>
        <v>4.0683333333333334</v>
      </c>
    </row>
    <row r="291" spans="2:12" s="215" customFormat="1" ht="15.6">
      <c r="B291" s="311"/>
      <c r="C291" s="312"/>
      <c r="D291" s="310"/>
      <c r="E291" s="310"/>
      <c r="F291" s="310"/>
      <c r="G291" s="310"/>
      <c r="H291" s="313"/>
      <c r="I291" s="315"/>
      <c r="J291" s="316"/>
      <c r="K291" s="310"/>
    </row>
    <row r="292" spans="2:12" s="215" customFormat="1" ht="15.6">
      <c r="B292" s="6" t="s">
        <v>2916</v>
      </c>
      <c r="C292" s="282" t="s">
        <v>2913</v>
      </c>
      <c r="D292" s="284"/>
      <c r="E292" s="284"/>
      <c r="F292" s="284"/>
      <c r="G292" s="284"/>
      <c r="H292" s="285"/>
      <c r="I292" s="286"/>
      <c r="J292" s="271"/>
      <c r="K292" s="271">
        <f>SMALL(K297:K298,1)</f>
        <v>1.7514500000000002</v>
      </c>
    </row>
    <row r="293" spans="2:12" s="215" customFormat="1" ht="15.6">
      <c r="B293" s="272" t="s">
        <v>2490</v>
      </c>
      <c r="C293" s="296" t="s">
        <v>3422</v>
      </c>
      <c r="D293" s="7" t="s">
        <v>3423</v>
      </c>
      <c r="E293" s="7" t="s">
        <v>3424</v>
      </c>
      <c r="F293" s="8" t="s">
        <v>2114</v>
      </c>
      <c r="G293" s="294" t="s">
        <v>3452</v>
      </c>
      <c r="H293" s="274">
        <v>45061</v>
      </c>
      <c r="I293" s="295">
        <v>25</v>
      </c>
      <c r="J293" s="276">
        <v>40.54</v>
      </c>
      <c r="K293" s="276">
        <f>J293/I293</f>
        <v>1.6215999999999999</v>
      </c>
      <c r="L293" s="216"/>
    </row>
    <row r="294" spans="2:12" s="215" customFormat="1" ht="15.6">
      <c r="B294" s="272" t="s">
        <v>2491</v>
      </c>
      <c r="C294" s="352" t="s">
        <v>2575</v>
      </c>
      <c r="D294" s="7" t="s">
        <v>2806</v>
      </c>
      <c r="E294" s="7" t="s">
        <v>2493</v>
      </c>
      <c r="F294" s="8" t="s">
        <v>2114</v>
      </c>
      <c r="G294" s="7" t="s">
        <v>3989</v>
      </c>
      <c r="H294" s="274">
        <v>45107</v>
      </c>
      <c r="I294" s="295">
        <v>200</v>
      </c>
      <c r="J294" s="276">
        <v>350.29</v>
      </c>
      <c r="K294" s="276">
        <f>J294/I294</f>
        <v>1.7514500000000002</v>
      </c>
      <c r="L294" s="216"/>
    </row>
    <row r="295" spans="2:12" s="215" customFormat="1" ht="15.6">
      <c r="B295" s="272" t="s">
        <v>2494</v>
      </c>
      <c r="C295" s="298" t="s">
        <v>3453</v>
      </c>
      <c r="D295" s="7" t="s">
        <v>3454</v>
      </c>
      <c r="E295" s="7" t="s">
        <v>3455</v>
      </c>
      <c r="F295" s="8" t="s">
        <v>2114</v>
      </c>
      <c r="G295" s="7">
        <v>12173</v>
      </c>
      <c r="H295" s="274">
        <v>45062</v>
      </c>
      <c r="I295" s="275">
        <v>25</v>
      </c>
      <c r="J295" s="276">
        <v>50</v>
      </c>
      <c r="K295" s="276">
        <f>J295/I295</f>
        <v>2</v>
      </c>
      <c r="L295" s="216"/>
    </row>
    <row r="296" spans="2:12" s="215" customFormat="1" ht="15.6">
      <c r="B296" s="552" t="s">
        <v>3952</v>
      </c>
      <c r="C296" s="552"/>
      <c r="D296" s="552"/>
      <c r="E296" s="552"/>
      <c r="F296" s="552"/>
      <c r="G296" s="552"/>
      <c r="H296" s="552"/>
      <c r="I296" s="281"/>
      <c r="J296" s="281"/>
      <c r="K296" s="281"/>
      <c r="L296" s="216"/>
    </row>
    <row r="297" spans="2:12" s="215" customFormat="1" ht="15.6">
      <c r="B297" s="289"/>
      <c r="C297" s="278"/>
      <c r="D297" s="279"/>
      <c r="E297" s="279"/>
      <c r="F297" s="279"/>
      <c r="G297" s="279"/>
      <c r="H297" s="279"/>
      <c r="I297" s="281"/>
      <c r="J297" s="275" t="s">
        <v>2483</v>
      </c>
      <c r="K297" s="276">
        <f>AVERAGE(K293:K295)</f>
        <v>1.7910166666666667</v>
      </c>
    </row>
    <row r="298" spans="2:12" s="215" customFormat="1" ht="15.6">
      <c r="B298" s="289"/>
      <c r="C298" s="278"/>
      <c r="D298" s="279"/>
      <c r="E298" s="279"/>
      <c r="F298" s="279"/>
      <c r="G298" s="279"/>
      <c r="H298" s="279"/>
      <c r="I298" s="281"/>
      <c r="J298" s="275" t="s">
        <v>2484</v>
      </c>
      <c r="K298" s="276">
        <f>MEDIAN(K293:K295)</f>
        <v>1.7514500000000002</v>
      </c>
    </row>
    <row r="299" spans="2:12" s="215" customFormat="1" ht="15.6">
      <c r="B299" s="311"/>
      <c r="C299" s="312"/>
      <c r="D299" s="310"/>
      <c r="E299" s="310"/>
      <c r="F299" s="310"/>
      <c r="G299" s="310"/>
      <c r="H299" s="313"/>
      <c r="I299" s="313"/>
      <c r="J299" s="313"/>
      <c r="K299" s="310"/>
    </row>
    <row r="300" spans="2:12" s="215" customFormat="1" ht="15.6">
      <c r="B300" s="6" t="s">
        <v>2919</v>
      </c>
      <c r="C300" s="282" t="s">
        <v>3958</v>
      </c>
      <c r="D300" s="284"/>
      <c r="E300" s="284"/>
      <c r="F300" s="284"/>
      <c r="G300" s="284"/>
      <c r="H300" s="285"/>
      <c r="I300" s="286"/>
      <c r="J300" s="271"/>
      <c r="K300" s="271">
        <f>SMALL(K305:K306,1)</f>
        <v>1.1104506944444446</v>
      </c>
    </row>
    <row r="301" spans="2:12" s="215" customFormat="1" ht="15.6">
      <c r="B301" s="272" t="s">
        <v>2490</v>
      </c>
      <c r="C301" s="296" t="s">
        <v>3422</v>
      </c>
      <c r="D301" s="7" t="s">
        <v>3423</v>
      </c>
      <c r="E301" s="7" t="s">
        <v>3424</v>
      </c>
      <c r="F301" s="8" t="s">
        <v>2562</v>
      </c>
      <c r="G301" s="7" t="s">
        <v>3456</v>
      </c>
      <c r="H301" s="274">
        <v>45061</v>
      </c>
      <c r="I301" s="295">
        <v>192</v>
      </c>
      <c r="J301" s="276">
        <v>222.25</v>
      </c>
      <c r="K301" s="276">
        <f>J301/I301</f>
        <v>1.1575520833333333</v>
      </c>
      <c r="L301" s="216"/>
    </row>
    <row r="302" spans="2:12" s="215" customFormat="1" ht="15.6">
      <c r="B302" s="272" t="s">
        <v>2491</v>
      </c>
      <c r="C302" s="323" t="s">
        <v>3486</v>
      </c>
      <c r="D302" s="7" t="s">
        <v>3459</v>
      </c>
      <c r="E302" s="7" t="s">
        <v>3460</v>
      </c>
      <c r="F302" s="8" t="s">
        <v>2562</v>
      </c>
      <c r="G302" s="7" t="s">
        <v>3990</v>
      </c>
      <c r="H302" s="274">
        <v>45107</v>
      </c>
      <c r="I302" s="275">
        <v>100</v>
      </c>
      <c r="J302" s="276">
        <v>102.38</v>
      </c>
      <c r="K302" s="276">
        <f>J302/I302</f>
        <v>1.0238</v>
      </c>
      <c r="L302" s="216"/>
    </row>
    <row r="303" spans="2:12" s="215" customFormat="1" ht="15.6">
      <c r="B303" s="272" t="s">
        <v>2494</v>
      </c>
      <c r="C303" s="296" t="s">
        <v>3440</v>
      </c>
      <c r="D303" s="7" t="s">
        <v>3439</v>
      </c>
      <c r="E303" s="7" t="s">
        <v>3441</v>
      </c>
      <c r="F303" s="8" t="s">
        <v>2562</v>
      </c>
      <c r="G303" s="7">
        <v>226042</v>
      </c>
      <c r="H303" s="318">
        <v>45062</v>
      </c>
      <c r="I303" s="275">
        <v>1</v>
      </c>
      <c r="J303" s="276">
        <v>1.1499999999999999</v>
      </c>
      <c r="K303" s="276">
        <f>J303/I303</f>
        <v>1.1499999999999999</v>
      </c>
      <c r="L303" s="216"/>
    </row>
    <row r="304" spans="2:12" s="215" customFormat="1" ht="15.6">
      <c r="B304" s="552" t="s">
        <v>3952</v>
      </c>
      <c r="C304" s="552"/>
      <c r="D304" s="552"/>
      <c r="E304" s="552"/>
      <c r="F304" s="552"/>
      <c r="G304" s="552"/>
      <c r="H304" s="552"/>
      <c r="I304" s="281"/>
      <c r="J304" s="281"/>
      <c r="K304" s="281"/>
      <c r="L304" s="216"/>
    </row>
    <row r="305" spans="2:12" s="215" customFormat="1" ht="15.6">
      <c r="B305" s="289"/>
      <c r="C305" s="278"/>
      <c r="D305" s="279"/>
      <c r="E305" s="279"/>
      <c r="F305" s="279"/>
      <c r="G305" s="279"/>
      <c r="H305" s="279"/>
      <c r="I305" s="281"/>
      <c r="J305" s="275" t="s">
        <v>2483</v>
      </c>
      <c r="K305" s="276">
        <f>AVERAGE(K301:K303)</f>
        <v>1.1104506944444446</v>
      </c>
    </row>
    <row r="306" spans="2:12" s="215" customFormat="1" ht="15.6">
      <c r="B306" s="289"/>
      <c r="C306" s="278"/>
      <c r="D306" s="279"/>
      <c r="E306" s="279"/>
      <c r="F306" s="279"/>
      <c r="G306" s="279"/>
      <c r="H306" s="279"/>
      <c r="I306" s="281"/>
      <c r="J306" s="275" t="s">
        <v>2484</v>
      </c>
      <c r="K306" s="276">
        <f>MEDIAN(K301:K303)</f>
        <v>1.1499999999999999</v>
      </c>
    </row>
    <row r="307" spans="2:12" s="215" customFormat="1" ht="15.6">
      <c r="B307" s="314"/>
      <c r="C307" s="319"/>
      <c r="D307" s="314"/>
      <c r="E307" s="314"/>
      <c r="F307" s="314"/>
      <c r="G307" s="320"/>
      <c r="H307" s="321"/>
      <c r="I307" s="322"/>
      <c r="J307" s="322"/>
      <c r="K307" s="310"/>
    </row>
    <row r="308" spans="2:12" s="215" customFormat="1" ht="15.6">
      <c r="B308" s="6" t="s">
        <v>2922</v>
      </c>
      <c r="C308" s="282" t="s">
        <v>3959</v>
      </c>
      <c r="D308" s="284"/>
      <c r="E308" s="284"/>
      <c r="F308" s="284"/>
      <c r="G308" s="284"/>
      <c r="H308" s="285"/>
      <c r="I308" s="286"/>
      <c r="J308" s="271"/>
      <c r="K308" s="271">
        <f>SMALL(K313:K314,1)</f>
        <v>625.41499999999996</v>
      </c>
    </row>
    <row r="309" spans="2:12" s="215" customFormat="1" ht="15.6">
      <c r="B309" s="272" t="s">
        <v>2490</v>
      </c>
      <c r="C309" s="296" t="s">
        <v>3422</v>
      </c>
      <c r="D309" s="7" t="s">
        <v>3423</v>
      </c>
      <c r="E309" s="7" t="s">
        <v>3424</v>
      </c>
      <c r="F309" s="8" t="s">
        <v>2562</v>
      </c>
      <c r="G309" s="7">
        <v>107350077</v>
      </c>
      <c r="H309" s="274">
        <v>45061</v>
      </c>
      <c r="I309" s="295">
        <v>2</v>
      </c>
      <c r="J309" s="276">
        <v>1149.71</v>
      </c>
      <c r="K309" s="276">
        <f>J309/I309</f>
        <v>574.85500000000002</v>
      </c>
      <c r="L309" s="216"/>
    </row>
    <row r="310" spans="2:12" s="215" customFormat="1" ht="15.6">
      <c r="B310" s="272" t="s">
        <v>2491</v>
      </c>
      <c r="C310" s="296" t="s">
        <v>3486</v>
      </c>
      <c r="D310" s="7" t="s">
        <v>3459</v>
      </c>
      <c r="E310" s="7" t="s">
        <v>3460</v>
      </c>
      <c r="F310" s="8" t="s">
        <v>2562</v>
      </c>
      <c r="G310" s="7" t="s">
        <v>3443</v>
      </c>
      <c r="H310" s="274">
        <v>45062</v>
      </c>
      <c r="I310" s="295">
        <v>1</v>
      </c>
      <c r="J310" s="276">
        <v>671.39</v>
      </c>
      <c r="K310" s="276">
        <f>J310/I310</f>
        <v>671.39</v>
      </c>
      <c r="L310" s="216"/>
    </row>
    <row r="311" spans="2:12" s="215" customFormat="1" ht="15.6">
      <c r="B311" s="272" t="s">
        <v>2494</v>
      </c>
      <c r="C311" s="6" t="s">
        <v>3447</v>
      </c>
      <c r="D311" s="7" t="s">
        <v>3448</v>
      </c>
      <c r="E311" s="7" t="s">
        <v>3449</v>
      </c>
      <c r="F311" s="8" t="s">
        <v>2562</v>
      </c>
      <c r="G311" s="7" t="s">
        <v>3443</v>
      </c>
      <c r="H311" s="274">
        <v>45062</v>
      </c>
      <c r="I311" s="275">
        <v>1</v>
      </c>
      <c r="J311" s="276">
        <v>630</v>
      </c>
      <c r="K311" s="276">
        <f>J311/I311</f>
        <v>630</v>
      </c>
      <c r="L311" s="216"/>
    </row>
    <row r="312" spans="2:12" s="215" customFormat="1" ht="15.6">
      <c r="B312" s="552" t="s">
        <v>3952</v>
      </c>
      <c r="C312" s="552"/>
      <c r="D312" s="552"/>
      <c r="E312" s="552"/>
      <c r="F312" s="552"/>
      <c r="G312" s="552"/>
      <c r="H312" s="552"/>
      <c r="I312" s="281"/>
      <c r="J312" s="281"/>
      <c r="K312" s="281"/>
      <c r="L312" s="216"/>
    </row>
    <row r="313" spans="2:12" s="215" customFormat="1" ht="15.6">
      <c r="B313" s="289"/>
      <c r="C313" s="278"/>
      <c r="D313" s="279"/>
      <c r="E313" s="279"/>
      <c r="F313" s="279"/>
      <c r="G313" s="279"/>
      <c r="H313" s="279"/>
      <c r="I313" s="281"/>
      <c r="J313" s="275" t="s">
        <v>2483</v>
      </c>
      <c r="K313" s="276">
        <f>AVERAGE(K309:K311)</f>
        <v>625.41499999999996</v>
      </c>
    </row>
    <row r="314" spans="2:12" s="215" customFormat="1" ht="15.6">
      <c r="B314" s="289"/>
      <c r="C314" s="278"/>
      <c r="D314" s="279"/>
      <c r="E314" s="279"/>
      <c r="F314" s="279"/>
      <c r="G314" s="279"/>
      <c r="H314" s="279"/>
      <c r="I314" s="281"/>
      <c r="J314" s="275" t="s">
        <v>2484</v>
      </c>
      <c r="K314" s="276">
        <f>MEDIAN(K309:K311)</f>
        <v>630</v>
      </c>
    </row>
    <row r="315" spans="2:12" s="215" customFormat="1" ht="15.6">
      <c r="B315" s="314"/>
      <c r="C315" s="319"/>
      <c r="D315" s="314"/>
      <c r="E315" s="314"/>
      <c r="F315" s="314"/>
      <c r="G315" s="320"/>
      <c r="H315" s="321"/>
      <c r="I315" s="322"/>
      <c r="J315" s="322"/>
      <c r="K315" s="310"/>
    </row>
    <row r="316" spans="2:12" s="215" customFormat="1" ht="15.6">
      <c r="B316" s="6" t="s">
        <v>3169</v>
      </c>
      <c r="C316" s="282" t="s">
        <v>3171</v>
      </c>
      <c r="D316" s="284"/>
      <c r="E316" s="284"/>
      <c r="F316" s="284"/>
      <c r="G316" s="284"/>
      <c r="H316" s="285"/>
      <c r="I316" s="286"/>
      <c r="J316" s="271"/>
      <c r="K316" s="271">
        <f>SMALL(K321:K322,1)</f>
        <v>1520</v>
      </c>
    </row>
    <row r="317" spans="2:12" s="215" customFormat="1" ht="15.6">
      <c r="B317" s="272" t="s">
        <v>2490</v>
      </c>
      <c r="C317" s="323" t="s">
        <v>3499</v>
      </c>
      <c r="D317" s="7" t="s">
        <v>3500</v>
      </c>
      <c r="E317" s="7" t="s">
        <v>3501</v>
      </c>
      <c r="F317" s="8" t="s">
        <v>2562</v>
      </c>
      <c r="G317" s="7" t="s">
        <v>3560</v>
      </c>
      <c r="H317" s="274">
        <v>45098</v>
      </c>
      <c r="I317" s="295">
        <v>11</v>
      </c>
      <c r="J317" s="276">
        <v>14300</v>
      </c>
      <c r="K317" s="276">
        <f>J317/I317</f>
        <v>1300</v>
      </c>
      <c r="L317" s="216"/>
    </row>
    <row r="318" spans="2:12" s="215" customFormat="1" ht="15.6">
      <c r="B318" s="272" t="s">
        <v>2491</v>
      </c>
      <c r="C318" s="323" t="s">
        <v>3512</v>
      </c>
      <c r="D318" s="10" t="s">
        <v>3513</v>
      </c>
      <c r="E318" s="7" t="s">
        <v>3514</v>
      </c>
      <c r="F318" s="8" t="s">
        <v>2562</v>
      </c>
      <c r="G318" s="7" t="s">
        <v>3443</v>
      </c>
      <c r="H318" s="274">
        <v>45071</v>
      </c>
      <c r="I318" s="295">
        <v>11</v>
      </c>
      <c r="J318" s="276">
        <v>16720</v>
      </c>
      <c r="K318" s="276">
        <f>J318/I318</f>
        <v>1520</v>
      </c>
      <c r="L318" s="216"/>
    </row>
    <row r="319" spans="2:12" s="215" customFormat="1" ht="15.6">
      <c r="B319" s="272" t="s">
        <v>2494</v>
      </c>
      <c r="C319" s="6" t="s">
        <v>3520</v>
      </c>
      <c r="D319" s="7" t="s">
        <v>3521</v>
      </c>
      <c r="E319" s="7" t="s">
        <v>3522</v>
      </c>
      <c r="F319" s="8" t="s">
        <v>2562</v>
      </c>
      <c r="G319" s="7">
        <v>29</v>
      </c>
      <c r="H319" s="274">
        <v>45110</v>
      </c>
      <c r="I319" s="275">
        <v>11</v>
      </c>
      <c r="J319" s="276">
        <v>24200</v>
      </c>
      <c r="K319" s="276">
        <f>J319/I319</f>
        <v>2200</v>
      </c>
      <c r="L319" s="216"/>
    </row>
    <row r="320" spans="2:12" s="215" customFormat="1" ht="15.6">
      <c r="B320" s="552" t="s">
        <v>4129</v>
      </c>
      <c r="C320" s="552"/>
      <c r="D320" s="552"/>
      <c r="E320" s="552"/>
      <c r="F320" s="552"/>
      <c r="G320" s="552"/>
      <c r="H320" s="552"/>
      <c r="I320" s="281"/>
      <c r="J320" s="281"/>
      <c r="K320" s="281"/>
      <c r="L320" s="216"/>
    </row>
    <row r="321" spans="2:12" s="215" customFormat="1" ht="15.6">
      <c r="B321" s="289"/>
      <c r="C321" s="278"/>
      <c r="D321" s="279"/>
      <c r="E321" s="279"/>
      <c r="F321" s="279"/>
      <c r="G321" s="279"/>
      <c r="H321" s="279"/>
      <c r="I321" s="281"/>
      <c r="J321" s="275" t="s">
        <v>2483</v>
      </c>
      <c r="K321" s="276">
        <f>AVERAGE(K317:K319)</f>
        <v>1673.3333333333333</v>
      </c>
    </row>
    <row r="322" spans="2:12" s="215" customFormat="1" ht="15.6">
      <c r="B322" s="289"/>
      <c r="C322" s="278"/>
      <c r="D322" s="279"/>
      <c r="E322" s="279"/>
      <c r="F322" s="279"/>
      <c r="G322" s="279"/>
      <c r="H322" s="279"/>
      <c r="I322" s="281"/>
      <c r="J322" s="275" t="s">
        <v>2484</v>
      </c>
      <c r="K322" s="276">
        <f>MEDIAN(K317:K319)</f>
        <v>1520</v>
      </c>
    </row>
    <row r="323" spans="2:12" s="215" customFormat="1" ht="15.6">
      <c r="B323" s="314"/>
      <c r="C323" s="319"/>
      <c r="D323" s="314"/>
      <c r="E323" s="314"/>
      <c r="F323" s="314"/>
      <c r="G323" s="320"/>
      <c r="H323" s="321"/>
      <c r="I323" s="322"/>
      <c r="J323" s="322"/>
      <c r="K323" s="310"/>
    </row>
    <row r="324" spans="2:12" s="215" customFormat="1" ht="15.6">
      <c r="B324" s="6" t="s">
        <v>3170</v>
      </c>
      <c r="C324" s="282" t="s">
        <v>3172</v>
      </c>
      <c r="D324" s="284"/>
      <c r="E324" s="284"/>
      <c r="F324" s="284"/>
      <c r="G324" s="284"/>
      <c r="H324" s="285"/>
      <c r="I324" s="286"/>
      <c r="J324" s="271"/>
      <c r="K324" s="271">
        <f>SMALL(K329:K330,1)</f>
        <v>172.66666666666666</v>
      </c>
    </row>
    <row r="325" spans="2:12" s="215" customFormat="1" ht="15.6">
      <c r="B325" s="272" t="s">
        <v>2490</v>
      </c>
      <c r="C325" s="323" t="s">
        <v>3512</v>
      </c>
      <c r="D325" s="10" t="s">
        <v>3513</v>
      </c>
      <c r="E325" s="7" t="s">
        <v>3514</v>
      </c>
      <c r="F325" s="8" t="s">
        <v>2562</v>
      </c>
      <c r="G325" s="7" t="s">
        <v>3443</v>
      </c>
      <c r="H325" s="274">
        <v>45071</v>
      </c>
      <c r="I325" s="295">
        <v>46</v>
      </c>
      <c r="J325" s="276">
        <v>5244</v>
      </c>
      <c r="K325" s="276">
        <f>J325/I325</f>
        <v>114</v>
      </c>
      <c r="L325" s="216"/>
    </row>
    <row r="326" spans="2:12" s="215" customFormat="1" ht="15.6">
      <c r="B326" s="272" t="s">
        <v>2491</v>
      </c>
      <c r="C326" s="6" t="s">
        <v>3502</v>
      </c>
      <c r="D326" s="7" t="s">
        <v>3492</v>
      </c>
      <c r="E326" s="288" t="s">
        <v>3493</v>
      </c>
      <c r="F326" s="8" t="s">
        <v>2562</v>
      </c>
      <c r="G326" s="7" t="s">
        <v>3443</v>
      </c>
      <c r="H326" s="274">
        <v>45070</v>
      </c>
      <c r="I326" s="275">
        <v>46</v>
      </c>
      <c r="J326" s="276">
        <v>8510</v>
      </c>
      <c r="K326" s="276">
        <f>J326/I326</f>
        <v>185</v>
      </c>
      <c r="L326" s="216"/>
    </row>
    <row r="327" spans="2:12" s="215" customFormat="1" ht="15.6">
      <c r="B327" s="272" t="s">
        <v>2494</v>
      </c>
      <c r="C327" s="6" t="s">
        <v>3503</v>
      </c>
      <c r="D327" s="10" t="s">
        <v>3504</v>
      </c>
      <c r="E327" s="288" t="s">
        <v>3505</v>
      </c>
      <c r="F327" s="8" t="s">
        <v>2562</v>
      </c>
      <c r="G327" s="7">
        <v>15</v>
      </c>
      <c r="H327" s="274">
        <v>44992</v>
      </c>
      <c r="I327" s="275">
        <v>6</v>
      </c>
      <c r="J327" s="276">
        <v>1314</v>
      </c>
      <c r="K327" s="276">
        <f>J327/I327</f>
        <v>219</v>
      </c>
      <c r="L327" s="216"/>
    </row>
    <row r="328" spans="2:12" s="215" customFormat="1" ht="15.6">
      <c r="B328" s="552" t="s">
        <v>4128</v>
      </c>
      <c r="C328" s="552"/>
      <c r="D328" s="552"/>
      <c r="E328" s="552"/>
      <c r="F328" s="552"/>
      <c r="G328" s="552"/>
      <c r="H328" s="552"/>
      <c r="I328" s="281"/>
      <c r="J328" s="281"/>
      <c r="K328" s="281"/>
      <c r="L328" s="216"/>
    </row>
    <row r="329" spans="2:12" s="215" customFormat="1" ht="15.6">
      <c r="B329" s="289"/>
      <c r="C329" s="278"/>
      <c r="D329" s="279"/>
      <c r="E329" s="279"/>
      <c r="F329" s="279"/>
      <c r="G329" s="279"/>
      <c r="H329" s="279"/>
      <c r="I329" s="281"/>
      <c r="J329" s="275" t="s">
        <v>2483</v>
      </c>
      <c r="K329" s="276">
        <f>AVERAGE(K325:K327)</f>
        <v>172.66666666666666</v>
      </c>
    </row>
    <row r="330" spans="2:12" s="215" customFormat="1" ht="15.6">
      <c r="B330" s="289"/>
      <c r="C330" s="278"/>
      <c r="D330" s="279"/>
      <c r="E330" s="279"/>
      <c r="F330" s="279"/>
      <c r="G330" s="279"/>
      <c r="H330" s="279"/>
      <c r="I330" s="281"/>
      <c r="J330" s="275" t="s">
        <v>2484</v>
      </c>
      <c r="K330" s="276">
        <f>MEDIAN(K325:K327)</f>
        <v>185</v>
      </c>
    </row>
    <row r="331" spans="2:12" s="215" customFormat="1" ht="15.6">
      <c r="B331" s="304"/>
      <c r="C331" s="324"/>
      <c r="D331" s="304"/>
      <c r="E331" s="304"/>
      <c r="F331" s="304"/>
      <c r="G331" s="307"/>
      <c r="H331" s="308"/>
      <c r="I331" s="309"/>
      <c r="J331" s="309"/>
      <c r="K331" s="310"/>
    </row>
    <row r="332" spans="2:12" s="215" customFormat="1" ht="15.6">
      <c r="B332" s="6" t="s">
        <v>3173</v>
      </c>
      <c r="C332" s="282" t="s">
        <v>3174</v>
      </c>
      <c r="D332" s="284"/>
      <c r="E332" s="284"/>
      <c r="F332" s="284"/>
      <c r="G332" s="284"/>
      <c r="H332" s="285"/>
      <c r="I332" s="286"/>
      <c r="J332" s="271"/>
      <c r="K332" s="271">
        <f>SMALL(K337:K338,1)</f>
        <v>120</v>
      </c>
    </row>
    <row r="333" spans="2:12" s="215" customFormat="1" ht="15.6">
      <c r="B333" s="272" t="s">
        <v>2490</v>
      </c>
      <c r="C333" s="323" t="s">
        <v>3499</v>
      </c>
      <c r="D333" s="7" t="s">
        <v>3500</v>
      </c>
      <c r="E333" s="7" t="s">
        <v>3501</v>
      </c>
      <c r="F333" s="8" t="s">
        <v>2562</v>
      </c>
      <c r="G333" s="7" t="s">
        <v>3561</v>
      </c>
      <c r="H333" s="274">
        <v>45098</v>
      </c>
      <c r="I333" s="295">
        <v>36</v>
      </c>
      <c r="J333" s="276">
        <v>5616</v>
      </c>
      <c r="K333" s="276">
        <f>J333/I333</f>
        <v>156</v>
      </c>
      <c r="L333" s="216"/>
    </row>
    <row r="334" spans="2:12" s="215" customFormat="1" ht="15.6">
      <c r="B334" s="272" t="s">
        <v>2491</v>
      </c>
      <c r="C334" s="6" t="s">
        <v>3520</v>
      </c>
      <c r="D334" s="7" t="s">
        <v>3521</v>
      </c>
      <c r="E334" s="7" t="s">
        <v>3522</v>
      </c>
      <c r="F334" s="8" t="s">
        <v>2562</v>
      </c>
      <c r="G334" s="7">
        <v>30</v>
      </c>
      <c r="H334" s="274">
        <v>45110</v>
      </c>
      <c r="I334" s="295">
        <v>36</v>
      </c>
      <c r="J334" s="276">
        <v>4320</v>
      </c>
      <c r="K334" s="276">
        <f t="shared" ref="K334:K335" si="2">J334/I334</f>
        <v>120</v>
      </c>
      <c r="L334" s="216"/>
    </row>
    <row r="335" spans="2:12" s="215" customFormat="1" ht="15.6">
      <c r="B335" s="272" t="s">
        <v>2494</v>
      </c>
      <c r="C335" s="323" t="s">
        <v>3512</v>
      </c>
      <c r="D335" s="10" t="s">
        <v>3513</v>
      </c>
      <c r="E335" s="7" t="s">
        <v>3514</v>
      </c>
      <c r="F335" s="8" t="s">
        <v>2562</v>
      </c>
      <c r="G335" s="7" t="s">
        <v>3443</v>
      </c>
      <c r="H335" s="274">
        <v>45071</v>
      </c>
      <c r="I335" s="275">
        <v>36</v>
      </c>
      <c r="J335" s="276">
        <v>3420</v>
      </c>
      <c r="K335" s="276">
        <f t="shared" si="2"/>
        <v>95</v>
      </c>
      <c r="L335" s="216"/>
    </row>
    <row r="336" spans="2:12" s="215" customFormat="1" ht="15.6">
      <c r="B336" s="552" t="s">
        <v>4130</v>
      </c>
      <c r="C336" s="552"/>
      <c r="D336" s="552"/>
      <c r="E336" s="552"/>
      <c r="F336" s="552"/>
      <c r="G336" s="552"/>
      <c r="H336" s="552"/>
      <c r="I336" s="281"/>
      <c r="J336" s="281"/>
      <c r="K336" s="281"/>
      <c r="L336" s="216"/>
    </row>
    <row r="337" spans="2:12" s="215" customFormat="1" ht="15.6">
      <c r="B337" s="289"/>
      <c r="C337" s="278"/>
      <c r="D337" s="279"/>
      <c r="E337" s="279"/>
      <c r="F337" s="279"/>
      <c r="G337" s="279"/>
      <c r="H337" s="279"/>
      <c r="I337" s="281"/>
      <c r="J337" s="275" t="s">
        <v>2483</v>
      </c>
      <c r="K337" s="276">
        <f>AVERAGE(K333:K335)</f>
        <v>123.66666666666667</v>
      </c>
    </row>
    <row r="338" spans="2:12" s="215" customFormat="1" ht="15.6">
      <c r="B338" s="289"/>
      <c r="C338" s="278"/>
      <c r="D338" s="279"/>
      <c r="E338" s="279"/>
      <c r="F338" s="279"/>
      <c r="G338" s="279"/>
      <c r="H338" s="279"/>
      <c r="I338" s="281"/>
      <c r="J338" s="275" t="s">
        <v>2484</v>
      </c>
      <c r="K338" s="276">
        <f>MEDIAN(K333:K335)</f>
        <v>120</v>
      </c>
    </row>
    <row r="339" spans="2:12" s="215" customFormat="1" ht="15.6">
      <c r="B339" s="304"/>
      <c r="C339" s="324"/>
      <c r="D339" s="304"/>
      <c r="E339" s="304"/>
      <c r="F339" s="304"/>
      <c r="G339" s="307"/>
      <c r="H339" s="308"/>
      <c r="I339" s="309"/>
      <c r="J339" s="309"/>
      <c r="K339" s="310"/>
    </row>
    <row r="340" spans="2:12" s="215" customFormat="1" ht="15.6">
      <c r="B340" s="6" t="s">
        <v>3175</v>
      </c>
      <c r="C340" s="282" t="s">
        <v>3176</v>
      </c>
      <c r="D340" s="284"/>
      <c r="E340" s="284"/>
      <c r="F340" s="284"/>
      <c r="G340" s="284"/>
      <c r="H340" s="285"/>
      <c r="I340" s="286"/>
      <c r="J340" s="271"/>
      <c r="K340" s="271">
        <f>SMALL(K345:K346,1)</f>
        <v>111.33333333333333</v>
      </c>
    </row>
    <row r="341" spans="2:12" s="215" customFormat="1" ht="15.6">
      <c r="B341" s="272" t="s">
        <v>2490</v>
      </c>
      <c r="C341" s="296" t="s">
        <v>3506</v>
      </c>
      <c r="D341" s="7" t="s">
        <v>3507</v>
      </c>
      <c r="E341" s="7" t="s">
        <v>3508</v>
      </c>
      <c r="F341" s="8" t="s">
        <v>2562</v>
      </c>
      <c r="G341" s="7">
        <v>13</v>
      </c>
      <c r="H341" s="274">
        <v>44998</v>
      </c>
      <c r="I341" s="295">
        <v>1</v>
      </c>
      <c r="J341" s="276">
        <v>100</v>
      </c>
      <c r="K341" s="276">
        <f>J341/I341</f>
        <v>100</v>
      </c>
      <c r="L341" s="216"/>
    </row>
    <row r="342" spans="2:12" s="215" customFormat="1" ht="15.6">
      <c r="B342" s="272" t="s">
        <v>2491</v>
      </c>
      <c r="C342" s="296" t="s">
        <v>3503</v>
      </c>
      <c r="D342" s="7" t="s">
        <v>3504</v>
      </c>
      <c r="E342" s="7" t="s">
        <v>3505</v>
      </c>
      <c r="F342" s="8" t="s">
        <v>2562</v>
      </c>
      <c r="G342" s="7">
        <v>13</v>
      </c>
      <c r="H342" s="274">
        <v>44992</v>
      </c>
      <c r="I342" s="295">
        <v>23</v>
      </c>
      <c r="J342" s="276">
        <v>2737</v>
      </c>
      <c r="K342" s="276">
        <f>J342/I342</f>
        <v>119</v>
      </c>
      <c r="L342" s="216"/>
    </row>
    <row r="343" spans="2:12" s="215" customFormat="1" ht="15.6">
      <c r="B343" s="272" t="s">
        <v>2494</v>
      </c>
      <c r="C343" s="6" t="s">
        <v>3509</v>
      </c>
      <c r="D343" s="10" t="s">
        <v>3510</v>
      </c>
      <c r="E343" s="7" t="s">
        <v>3511</v>
      </c>
      <c r="F343" s="8" t="s">
        <v>2562</v>
      </c>
      <c r="G343" s="7">
        <v>13</v>
      </c>
      <c r="H343" s="274">
        <v>45001</v>
      </c>
      <c r="I343" s="275">
        <v>23</v>
      </c>
      <c r="J343" s="276">
        <v>2645</v>
      </c>
      <c r="K343" s="276">
        <f>J343/I343</f>
        <v>115</v>
      </c>
      <c r="L343" s="216"/>
    </row>
    <row r="344" spans="2:12" s="215" customFormat="1" ht="15.6">
      <c r="B344" s="289"/>
      <c r="C344" s="278"/>
      <c r="D344" s="279"/>
      <c r="E344" s="279"/>
      <c r="F344" s="279"/>
      <c r="G344" s="279"/>
      <c r="H344" s="279"/>
      <c r="I344" s="281"/>
      <c r="J344" s="281"/>
      <c r="K344" s="281"/>
      <c r="L344" s="216"/>
    </row>
    <row r="345" spans="2:12" s="215" customFormat="1" ht="15.6">
      <c r="B345" s="289"/>
      <c r="C345" s="278"/>
      <c r="D345" s="279"/>
      <c r="E345" s="279"/>
      <c r="F345" s="279"/>
      <c r="G345" s="279"/>
      <c r="H345" s="279"/>
      <c r="I345" s="281"/>
      <c r="J345" s="275" t="s">
        <v>2483</v>
      </c>
      <c r="K345" s="276">
        <f>AVERAGE(K341:K343)</f>
        <v>111.33333333333333</v>
      </c>
    </row>
    <row r="346" spans="2:12" s="215" customFormat="1" ht="15.6">
      <c r="B346" s="289"/>
      <c r="C346" s="278"/>
      <c r="D346" s="279"/>
      <c r="E346" s="279"/>
      <c r="F346" s="279"/>
      <c r="G346" s="279"/>
      <c r="H346" s="279"/>
      <c r="I346" s="281"/>
      <c r="J346" s="275" t="s">
        <v>2484</v>
      </c>
      <c r="K346" s="276">
        <f>MEDIAN(K341:K343)</f>
        <v>115</v>
      </c>
    </row>
    <row r="347" spans="2:12" s="215" customFormat="1" ht="15.6">
      <c r="B347" s="311"/>
      <c r="C347" s="312"/>
      <c r="D347" s="310"/>
      <c r="E347" s="310"/>
      <c r="F347" s="310"/>
      <c r="G347" s="310"/>
      <c r="H347" s="313"/>
      <c r="I347" s="313"/>
      <c r="J347" s="313"/>
      <c r="K347" s="310"/>
    </row>
    <row r="348" spans="2:12" s="215" customFormat="1" ht="15.6">
      <c r="B348" s="6" t="s">
        <v>3177</v>
      </c>
      <c r="C348" s="282" t="s">
        <v>3182</v>
      </c>
      <c r="D348" s="284"/>
      <c r="E348" s="284"/>
      <c r="F348" s="284"/>
      <c r="G348" s="284"/>
      <c r="H348" s="285"/>
      <c r="I348" s="286"/>
      <c r="J348" s="271"/>
      <c r="K348" s="271">
        <f>SMALL(K353:K354,1)</f>
        <v>326.16666666666669</v>
      </c>
    </row>
    <row r="349" spans="2:12" s="215" customFormat="1" ht="15.6">
      <c r="B349" s="272" t="s">
        <v>2490</v>
      </c>
      <c r="C349" s="323" t="s">
        <v>3512</v>
      </c>
      <c r="D349" s="10" t="s">
        <v>3513</v>
      </c>
      <c r="E349" s="7" t="s">
        <v>3514</v>
      </c>
      <c r="F349" s="8" t="s">
        <v>2562</v>
      </c>
      <c r="G349" s="7" t="s">
        <v>3443</v>
      </c>
      <c r="H349" s="274">
        <v>45071</v>
      </c>
      <c r="I349" s="295">
        <v>4</v>
      </c>
      <c r="J349" s="276">
        <v>1140</v>
      </c>
      <c r="K349" s="276">
        <f>J349/I349</f>
        <v>285</v>
      </c>
      <c r="L349" s="216"/>
    </row>
    <row r="350" spans="2:12" s="215" customFormat="1" ht="15.6">
      <c r="B350" s="272" t="s">
        <v>2491</v>
      </c>
      <c r="C350" s="296" t="s">
        <v>2575</v>
      </c>
      <c r="D350" s="7" t="s">
        <v>2492</v>
      </c>
      <c r="E350" s="7" t="s">
        <v>2493</v>
      </c>
      <c r="F350" s="8" t="s">
        <v>2562</v>
      </c>
      <c r="G350" s="7" t="s">
        <v>3515</v>
      </c>
      <c r="H350" s="274">
        <v>45075</v>
      </c>
      <c r="I350" s="295">
        <v>1</v>
      </c>
      <c r="J350" s="276">
        <v>351.5</v>
      </c>
      <c r="K350" s="276">
        <f>J350/I350</f>
        <v>351.5</v>
      </c>
      <c r="L350" s="216"/>
    </row>
    <row r="351" spans="2:12" s="215" customFormat="1" ht="15.6">
      <c r="B351" s="272" t="s">
        <v>2494</v>
      </c>
      <c r="C351" s="6" t="s">
        <v>3516</v>
      </c>
      <c r="D351" s="7" t="s">
        <v>3517</v>
      </c>
      <c r="E351" s="7" t="s">
        <v>3518</v>
      </c>
      <c r="F351" s="8" t="s">
        <v>2562</v>
      </c>
      <c r="G351" s="7" t="s">
        <v>3443</v>
      </c>
      <c r="H351" s="274">
        <v>45075</v>
      </c>
      <c r="I351" s="275">
        <v>1</v>
      </c>
      <c r="J351" s="276">
        <v>342</v>
      </c>
      <c r="K351" s="276">
        <f>J351/I351</f>
        <v>342</v>
      </c>
      <c r="L351" s="216"/>
    </row>
    <row r="352" spans="2:12" s="215" customFormat="1" ht="15.6">
      <c r="B352" s="552" t="s">
        <v>4128</v>
      </c>
      <c r="C352" s="552"/>
      <c r="D352" s="552"/>
      <c r="E352" s="552"/>
      <c r="F352" s="552"/>
      <c r="G352" s="552"/>
      <c r="H352" s="552"/>
      <c r="I352" s="281"/>
      <c r="J352" s="281"/>
      <c r="K352" s="281"/>
      <c r="L352" s="216"/>
    </row>
    <row r="353" spans="2:12" s="215" customFormat="1" ht="15.6">
      <c r="B353" s="289"/>
      <c r="C353" s="278"/>
      <c r="D353" s="279"/>
      <c r="E353" s="279"/>
      <c r="F353" s="279"/>
      <c r="G353" s="279"/>
      <c r="H353" s="279"/>
      <c r="I353" s="281"/>
      <c r="J353" s="275" t="s">
        <v>2483</v>
      </c>
      <c r="K353" s="276">
        <f>AVERAGE(K349:K351)</f>
        <v>326.16666666666669</v>
      </c>
    </row>
    <row r="354" spans="2:12" s="215" customFormat="1" ht="15.6">
      <c r="B354" s="289"/>
      <c r="C354" s="278"/>
      <c r="D354" s="279"/>
      <c r="E354" s="279"/>
      <c r="F354" s="279"/>
      <c r="G354" s="279"/>
      <c r="H354" s="279"/>
      <c r="I354" s="281"/>
      <c r="J354" s="275" t="s">
        <v>2484</v>
      </c>
      <c r="K354" s="276">
        <f>MEDIAN(K349:K351)</f>
        <v>342</v>
      </c>
    </row>
    <row r="355" spans="2:12" s="215" customFormat="1" ht="15.6">
      <c r="B355" s="311"/>
      <c r="C355" s="312"/>
      <c r="D355" s="310"/>
      <c r="E355" s="310"/>
      <c r="F355" s="310"/>
      <c r="G355" s="310"/>
      <c r="H355" s="313"/>
      <c r="I355" s="313"/>
      <c r="J355" s="313"/>
      <c r="K355" s="310"/>
    </row>
    <row r="356" spans="2:12" s="215" customFormat="1" ht="15.6">
      <c r="B356" s="6" t="s">
        <v>3178</v>
      </c>
      <c r="C356" s="282" t="s">
        <v>3181</v>
      </c>
      <c r="D356" s="284"/>
      <c r="E356" s="284"/>
      <c r="F356" s="284"/>
      <c r="G356" s="284"/>
      <c r="H356" s="285"/>
      <c r="I356" s="286"/>
      <c r="J356" s="271"/>
      <c r="K356" s="271">
        <f>SMALL(K361:K362,1)</f>
        <v>669</v>
      </c>
    </row>
    <row r="357" spans="2:12" s="215" customFormat="1" ht="15.6">
      <c r="B357" s="272" t="s">
        <v>2490</v>
      </c>
      <c r="C357" s="323" t="s">
        <v>3499</v>
      </c>
      <c r="D357" s="7" t="s">
        <v>3500</v>
      </c>
      <c r="E357" s="7" t="s">
        <v>3501</v>
      </c>
      <c r="F357" s="8" t="s">
        <v>2562</v>
      </c>
      <c r="G357" s="7" t="s">
        <v>3519</v>
      </c>
      <c r="H357" s="274">
        <v>45098</v>
      </c>
      <c r="I357" s="295">
        <v>19</v>
      </c>
      <c r="J357" s="276">
        <v>14250</v>
      </c>
      <c r="K357" s="276">
        <f>J357/I357</f>
        <v>750</v>
      </c>
      <c r="L357" s="216"/>
    </row>
    <row r="358" spans="2:12" s="215" customFormat="1" ht="15.6">
      <c r="B358" s="272" t="s">
        <v>2491</v>
      </c>
      <c r="C358" s="323" t="s">
        <v>3520</v>
      </c>
      <c r="D358" s="7" t="s">
        <v>3521</v>
      </c>
      <c r="E358" s="7" t="s">
        <v>3522</v>
      </c>
      <c r="F358" s="8" t="s">
        <v>2562</v>
      </c>
      <c r="G358" s="7">
        <v>15</v>
      </c>
      <c r="H358" s="274">
        <v>45110</v>
      </c>
      <c r="I358" s="295">
        <v>19</v>
      </c>
      <c r="J358" s="276">
        <v>12350</v>
      </c>
      <c r="K358" s="276">
        <f>J358/I358</f>
        <v>650</v>
      </c>
      <c r="L358" s="216"/>
    </row>
    <row r="359" spans="2:12" s="215" customFormat="1" ht="15.6">
      <c r="B359" s="272" t="s">
        <v>2494</v>
      </c>
      <c r="C359" s="6" t="s">
        <v>3523</v>
      </c>
      <c r="D359" s="10" t="s">
        <v>3524</v>
      </c>
      <c r="E359" s="288" t="s">
        <v>3525</v>
      </c>
      <c r="F359" s="8" t="s">
        <v>2562</v>
      </c>
      <c r="G359" s="7" t="s">
        <v>3443</v>
      </c>
      <c r="H359" s="274">
        <v>45089</v>
      </c>
      <c r="I359" s="275">
        <v>1</v>
      </c>
      <c r="J359" s="276">
        <v>669</v>
      </c>
      <c r="K359" s="276">
        <f>J359/I359</f>
        <v>669</v>
      </c>
      <c r="L359" s="216"/>
    </row>
    <row r="360" spans="2:12" s="215" customFormat="1" ht="15.6">
      <c r="B360" s="289"/>
      <c r="C360" s="278"/>
      <c r="D360" s="279"/>
      <c r="E360" s="279"/>
      <c r="F360" s="279"/>
      <c r="G360" s="279"/>
      <c r="H360" s="279"/>
      <c r="I360" s="281"/>
      <c r="J360" s="281"/>
      <c r="K360" s="281"/>
      <c r="L360" s="216"/>
    </row>
    <row r="361" spans="2:12" s="215" customFormat="1" ht="15.6">
      <c r="B361" s="289"/>
      <c r="C361" s="278"/>
      <c r="D361" s="279"/>
      <c r="E361" s="279"/>
      <c r="F361" s="279"/>
      <c r="G361" s="279"/>
      <c r="H361" s="279"/>
      <c r="I361" s="281"/>
      <c r="J361" s="275" t="s">
        <v>2483</v>
      </c>
      <c r="K361" s="276">
        <f>AVERAGE(K357:K359)</f>
        <v>689.66666666666663</v>
      </c>
    </row>
    <row r="362" spans="2:12" s="215" customFormat="1" ht="15.6">
      <c r="B362" s="289"/>
      <c r="C362" s="278"/>
      <c r="D362" s="279"/>
      <c r="E362" s="279"/>
      <c r="F362" s="279"/>
      <c r="G362" s="279"/>
      <c r="H362" s="279"/>
      <c r="I362" s="281"/>
      <c r="J362" s="275" t="s">
        <v>2484</v>
      </c>
      <c r="K362" s="276">
        <f>MEDIAN(K357:K359)</f>
        <v>669</v>
      </c>
    </row>
    <row r="363" spans="2:12" s="215" customFormat="1" ht="15.6">
      <c r="B363" s="311"/>
      <c r="C363" s="312"/>
      <c r="D363" s="310"/>
      <c r="E363" s="310"/>
      <c r="F363" s="310"/>
      <c r="G363" s="314"/>
      <c r="H363" s="313"/>
      <c r="I363" s="315"/>
      <c r="J363" s="316"/>
      <c r="K363" s="310"/>
    </row>
    <row r="364" spans="2:12" s="215" customFormat="1" ht="15.6">
      <c r="B364" s="6" t="s">
        <v>3179</v>
      </c>
      <c r="C364" s="282" t="s">
        <v>3180</v>
      </c>
      <c r="D364" s="284"/>
      <c r="E364" s="284"/>
      <c r="F364" s="284"/>
      <c r="G364" s="284"/>
      <c r="H364" s="285"/>
      <c r="I364" s="286"/>
      <c r="J364" s="271"/>
      <c r="K364" s="271">
        <f>SMALL(K369:K370,1)</f>
        <v>3.5</v>
      </c>
    </row>
    <row r="365" spans="2:12" s="215" customFormat="1" ht="15.6">
      <c r="B365" s="272" t="s">
        <v>2490</v>
      </c>
      <c r="C365" s="296" t="s">
        <v>3506</v>
      </c>
      <c r="D365" s="7" t="s">
        <v>3507</v>
      </c>
      <c r="E365" s="7" t="s">
        <v>3508</v>
      </c>
      <c r="F365" s="8" t="s">
        <v>2562</v>
      </c>
      <c r="G365" s="7">
        <v>14</v>
      </c>
      <c r="H365" s="274">
        <v>45000</v>
      </c>
      <c r="I365" s="295">
        <v>460</v>
      </c>
      <c r="J365" s="276">
        <v>1840</v>
      </c>
      <c r="K365" s="276">
        <f>J365/I365</f>
        <v>4</v>
      </c>
      <c r="L365" s="216"/>
    </row>
    <row r="366" spans="2:12" s="215" customFormat="1" ht="15.6">
      <c r="B366" s="272" t="s">
        <v>2491</v>
      </c>
      <c r="C366" s="6" t="s">
        <v>3509</v>
      </c>
      <c r="D366" s="10" t="s">
        <v>3510</v>
      </c>
      <c r="E366" s="7" t="s">
        <v>3511</v>
      </c>
      <c r="F366" s="8" t="s">
        <v>2562</v>
      </c>
      <c r="G366" s="7">
        <v>14</v>
      </c>
      <c r="H366" s="274">
        <v>45001</v>
      </c>
      <c r="I366" s="295">
        <v>460</v>
      </c>
      <c r="J366" s="276">
        <v>1380</v>
      </c>
      <c r="K366" s="276">
        <f>J366/I366</f>
        <v>3</v>
      </c>
      <c r="L366" s="216"/>
    </row>
    <row r="367" spans="2:12" s="215" customFormat="1" ht="15.6">
      <c r="B367" s="272" t="s">
        <v>2494</v>
      </c>
      <c r="C367" s="6" t="s">
        <v>3520</v>
      </c>
      <c r="D367" s="7" t="s">
        <v>3521</v>
      </c>
      <c r="E367" s="7" t="s">
        <v>3522</v>
      </c>
      <c r="F367" s="8" t="s">
        <v>2562</v>
      </c>
      <c r="G367" s="7">
        <v>14</v>
      </c>
      <c r="H367" s="274">
        <v>44995</v>
      </c>
      <c r="I367" s="275">
        <v>460</v>
      </c>
      <c r="J367" s="276">
        <v>1610</v>
      </c>
      <c r="K367" s="276">
        <f>J367/I367</f>
        <v>3.5</v>
      </c>
      <c r="L367" s="216"/>
    </row>
    <row r="368" spans="2:12" s="215" customFormat="1" ht="15.6">
      <c r="B368" s="289"/>
      <c r="C368" s="278"/>
      <c r="D368" s="279"/>
      <c r="E368" s="279"/>
      <c r="F368" s="279"/>
      <c r="G368" s="279"/>
      <c r="H368" s="279"/>
      <c r="I368" s="281"/>
      <c r="J368" s="281"/>
      <c r="K368" s="281"/>
      <c r="L368" s="216"/>
    </row>
    <row r="369" spans="2:12" s="215" customFormat="1" ht="15.6">
      <c r="B369" s="289"/>
      <c r="C369" s="278"/>
      <c r="D369" s="279"/>
      <c r="E369" s="279"/>
      <c r="F369" s="279"/>
      <c r="G369" s="279"/>
      <c r="H369" s="279"/>
      <c r="I369" s="281"/>
      <c r="J369" s="275" t="s">
        <v>2483</v>
      </c>
      <c r="K369" s="276">
        <f>AVERAGE(K365:K367)</f>
        <v>3.5</v>
      </c>
    </row>
    <row r="370" spans="2:12" s="215" customFormat="1" ht="15.6">
      <c r="B370" s="289"/>
      <c r="C370" s="278"/>
      <c r="D370" s="279"/>
      <c r="E370" s="279"/>
      <c r="F370" s="279"/>
      <c r="G370" s="279"/>
      <c r="H370" s="279"/>
      <c r="I370" s="281"/>
      <c r="J370" s="275" t="s">
        <v>2484</v>
      </c>
      <c r="K370" s="276">
        <f>MEDIAN(K365:K367)</f>
        <v>3.5</v>
      </c>
    </row>
    <row r="371" spans="2:12" s="215" customFormat="1" ht="15.6">
      <c r="B371" s="311"/>
      <c r="C371" s="312"/>
      <c r="D371" s="310"/>
      <c r="E371" s="310"/>
      <c r="F371" s="310"/>
      <c r="G371" s="310"/>
      <c r="H371" s="313"/>
      <c r="I371" s="315"/>
      <c r="J371" s="316"/>
      <c r="K371" s="310"/>
    </row>
    <row r="372" spans="2:12" s="215" customFormat="1" ht="15.6">
      <c r="B372" s="6" t="s">
        <v>3183</v>
      </c>
      <c r="C372" s="282" t="s">
        <v>3184</v>
      </c>
      <c r="D372" s="284"/>
      <c r="E372" s="284"/>
      <c r="F372" s="284"/>
      <c r="G372" s="284"/>
      <c r="H372" s="285"/>
      <c r="I372" s="286"/>
      <c r="J372" s="271"/>
      <c r="K372" s="271">
        <f>SMALL(K377:K378,1)</f>
        <v>67.071666666666658</v>
      </c>
    </row>
    <row r="373" spans="2:12" s="215" customFormat="1" ht="15.6">
      <c r="B373" s="272" t="s">
        <v>2490</v>
      </c>
      <c r="C373" s="296" t="s">
        <v>3526</v>
      </c>
      <c r="D373" s="7" t="s">
        <v>3527</v>
      </c>
      <c r="E373" s="325" t="s">
        <v>3528</v>
      </c>
      <c r="F373" s="8" t="s">
        <v>2562</v>
      </c>
      <c r="G373" s="7" t="s">
        <v>3443</v>
      </c>
      <c r="H373" s="274">
        <v>45089</v>
      </c>
      <c r="I373" s="295">
        <v>2</v>
      </c>
      <c r="J373" s="276">
        <v>118.65</v>
      </c>
      <c r="K373" s="276">
        <f>J373/I373</f>
        <v>59.325000000000003</v>
      </c>
      <c r="L373" s="216"/>
    </row>
    <row r="374" spans="2:12" s="215" customFormat="1" ht="15.6">
      <c r="B374" s="272" t="s">
        <v>2491</v>
      </c>
      <c r="C374" s="296" t="s">
        <v>3447</v>
      </c>
      <c r="D374" s="10" t="s">
        <v>3448</v>
      </c>
      <c r="E374" s="7" t="s">
        <v>3449</v>
      </c>
      <c r="F374" s="8" t="s">
        <v>2562</v>
      </c>
      <c r="G374" s="7" t="s">
        <v>3443</v>
      </c>
      <c r="H374" s="274">
        <v>45089</v>
      </c>
      <c r="I374" s="295">
        <v>1</v>
      </c>
      <c r="J374" s="276">
        <v>74</v>
      </c>
      <c r="K374" s="276">
        <f>J374/I374</f>
        <v>74</v>
      </c>
      <c r="L374" s="216"/>
    </row>
    <row r="375" spans="2:12" s="215" customFormat="1" ht="15.6">
      <c r="B375" s="272" t="s">
        <v>2494</v>
      </c>
      <c r="C375" s="6" t="s">
        <v>3529</v>
      </c>
      <c r="D375" s="7" t="s">
        <v>3530</v>
      </c>
      <c r="E375" s="7" t="s">
        <v>3531</v>
      </c>
      <c r="F375" s="8" t="s">
        <v>2562</v>
      </c>
      <c r="G375" s="7" t="s">
        <v>3532</v>
      </c>
      <c r="H375" s="274">
        <v>45089</v>
      </c>
      <c r="I375" s="275">
        <v>1</v>
      </c>
      <c r="J375" s="276">
        <v>67.89</v>
      </c>
      <c r="K375" s="276">
        <f>J375/I375</f>
        <v>67.89</v>
      </c>
      <c r="L375" s="216"/>
    </row>
    <row r="376" spans="2:12" s="215" customFormat="1" ht="15.6">
      <c r="B376" s="289"/>
      <c r="C376" s="278"/>
      <c r="D376" s="279"/>
      <c r="E376" s="279"/>
      <c r="F376" s="279"/>
      <c r="G376" s="279"/>
      <c r="H376" s="279"/>
      <c r="I376" s="281"/>
      <c r="J376" s="281"/>
      <c r="K376" s="281"/>
      <c r="L376" s="216"/>
    </row>
    <row r="377" spans="2:12" s="215" customFormat="1" ht="15.6">
      <c r="B377" s="289"/>
      <c r="C377" s="278"/>
      <c r="D377" s="279"/>
      <c r="E377" s="279"/>
      <c r="F377" s="279"/>
      <c r="G377" s="279"/>
      <c r="H377" s="279"/>
      <c r="I377" s="281"/>
      <c r="J377" s="275" t="s">
        <v>2483</v>
      </c>
      <c r="K377" s="276">
        <f>AVERAGE(K373:K375)</f>
        <v>67.071666666666658</v>
      </c>
    </row>
    <row r="378" spans="2:12" s="215" customFormat="1" ht="15.6">
      <c r="B378" s="289"/>
      <c r="C378" s="278"/>
      <c r="D378" s="279"/>
      <c r="E378" s="279"/>
      <c r="F378" s="279"/>
      <c r="G378" s="279"/>
      <c r="H378" s="279"/>
      <c r="I378" s="281"/>
      <c r="J378" s="275" t="s">
        <v>2484</v>
      </c>
      <c r="K378" s="276">
        <f>MEDIAN(K373:K375)</f>
        <v>67.89</v>
      </c>
    </row>
    <row r="379" spans="2:12" s="215" customFormat="1" ht="15.6">
      <c r="B379" s="311"/>
      <c r="C379" s="312"/>
      <c r="D379" s="310"/>
      <c r="E379" s="310"/>
      <c r="F379" s="310"/>
      <c r="G379" s="310"/>
      <c r="H379" s="313"/>
      <c r="I379" s="313"/>
      <c r="J379" s="313"/>
      <c r="K379" s="310"/>
    </row>
    <row r="380" spans="2:12" s="215" customFormat="1" ht="15.6">
      <c r="B380" s="6" t="s">
        <v>3185</v>
      </c>
      <c r="C380" s="282" t="s">
        <v>3186</v>
      </c>
      <c r="D380" s="284"/>
      <c r="E380" s="284"/>
      <c r="F380" s="284"/>
      <c r="G380" s="284"/>
      <c r="H380" s="285"/>
      <c r="I380" s="286"/>
      <c r="J380" s="271"/>
      <c r="K380" s="271">
        <f>SMALL(K385:K386,1)</f>
        <v>34.99</v>
      </c>
    </row>
    <row r="381" spans="2:12" s="215" customFormat="1" ht="15.6">
      <c r="B381" s="272" t="s">
        <v>2490</v>
      </c>
      <c r="C381" s="323" t="s">
        <v>3512</v>
      </c>
      <c r="D381" s="10" t="s">
        <v>3513</v>
      </c>
      <c r="E381" s="7" t="s">
        <v>3514</v>
      </c>
      <c r="F381" s="8" t="s">
        <v>2562</v>
      </c>
      <c r="G381" s="7" t="s">
        <v>3443</v>
      </c>
      <c r="H381" s="274">
        <v>45071</v>
      </c>
      <c r="I381" s="295">
        <v>20</v>
      </c>
      <c r="J381" s="276">
        <v>855</v>
      </c>
      <c r="K381" s="276">
        <f>J381/I381</f>
        <v>42.75</v>
      </c>
      <c r="L381" s="216"/>
    </row>
    <row r="382" spans="2:12" s="215" customFormat="1" ht="15.6">
      <c r="B382" s="272" t="s">
        <v>2491</v>
      </c>
      <c r="C382" s="6" t="s">
        <v>3533</v>
      </c>
      <c r="D382" s="10" t="s">
        <v>3534</v>
      </c>
      <c r="E382" s="7" t="s">
        <v>3535</v>
      </c>
      <c r="F382" s="8" t="s">
        <v>2562</v>
      </c>
      <c r="G382" s="7" t="s">
        <v>3443</v>
      </c>
      <c r="H382" s="274">
        <v>45075</v>
      </c>
      <c r="I382" s="275">
        <v>1</v>
      </c>
      <c r="J382" s="276">
        <v>34.99</v>
      </c>
      <c r="K382" s="276">
        <f>J382/I382</f>
        <v>34.99</v>
      </c>
      <c r="L382" s="216"/>
    </row>
    <row r="383" spans="2:12" s="215" customFormat="1" ht="15.6">
      <c r="B383" s="272" t="s">
        <v>2494</v>
      </c>
      <c r="C383" s="296" t="s">
        <v>3536</v>
      </c>
      <c r="D383" s="7" t="s">
        <v>3537</v>
      </c>
      <c r="E383" s="325" t="s">
        <v>3538</v>
      </c>
      <c r="F383" s="8" t="s">
        <v>2562</v>
      </c>
      <c r="G383" s="7" t="s">
        <v>3443</v>
      </c>
      <c r="H383" s="274">
        <v>45075</v>
      </c>
      <c r="I383" s="295">
        <v>1</v>
      </c>
      <c r="J383" s="276">
        <v>34.99</v>
      </c>
      <c r="K383" s="276">
        <f t="shared" ref="K383" si="3">J383/I383</f>
        <v>34.99</v>
      </c>
      <c r="L383" s="216"/>
    </row>
    <row r="384" spans="2:12" s="215" customFormat="1" ht="15.6">
      <c r="B384" s="552" t="s">
        <v>4128</v>
      </c>
      <c r="C384" s="552"/>
      <c r="D384" s="552"/>
      <c r="E384" s="552"/>
      <c r="F384" s="552"/>
      <c r="G384" s="552"/>
      <c r="H384" s="552"/>
      <c r="I384" s="281"/>
      <c r="J384" s="281"/>
      <c r="K384" s="281"/>
      <c r="L384" s="216"/>
    </row>
    <row r="385" spans="2:12" s="215" customFormat="1" ht="15.6">
      <c r="B385" s="289"/>
      <c r="C385" s="278"/>
      <c r="D385" s="279"/>
      <c r="E385" s="279"/>
      <c r="F385" s="279"/>
      <c r="G385" s="279"/>
      <c r="H385" s="279"/>
      <c r="I385" s="281"/>
      <c r="J385" s="275" t="s">
        <v>2483</v>
      </c>
      <c r="K385" s="276">
        <f>AVERAGE(K381:K383)</f>
        <v>37.576666666666675</v>
      </c>
    </row>
    <row r="386" spans="2:12" s="215" customFormat="1" ht="15.6">
      <c r="B386" s="289"/>
      <c r="C386" s="278"/>
      <c r="D386" s="279"/>
      <c r="E386" s="279"/>
      <c r="F386" s="279"/>
      <c r="G386" s="279"/>
      <c r="H386" s="279"/>
      <c r="I386" s="281"/>
      <c r="J386" s="275" t="s">
        <v>2484</v>
      </c>
      <c r="K386" s="276">
        <f>MEDIAN(K381:K383)</f>
        <v>34.99</v>
      </c>
    </row>
    <row r="387" spans="2:12" s="215" customFormat="1" ht="15.6">
      <c r="B387" s="314"/>
      <c r="C387" s="319"/>
      <c r="D387" s="314"/>
      <c r="E387" s="314"/>
      <c r="F387" s="314"/>
      <c r="G387" s="320"/>
      <c r="H387" s="321"/>
      <c r="I387" s="322"/>
      <c r="J387" s="322"/>
      <c r="K387" s="310"/>
    </row>
    <row r="388" spans="2:12" s="215" customFormat="1" ht="15.6">
      <c r="B388" s="6" t="s">
        <v>3187</v>
      </c>
      <c r="C388" s="282" t="s">
        <v>3188</v>
      </c>
      <c r="D388" s="284"/>
      <c r="E388" s="284"/>
      <c r="F388" s="284"/>
      <c r="G388" s="284"/>
      <c r="H388" s="285"/>
      <c r="I388" s="286"/>
      <c r="J388" s="271"/>
      <c r="K388" s="271">
        <f>SMALL(K393:K394,1)</f>
        <v>30</v>
      </c>
    </row>
    <row r="389" spans="2:12" s="215" customFormat="1" ht="15.6">
      <c r="B389" s="272" t="s">
        <v>2490</v>
      </c>
      <c r="C389" s="323" t="s">
        <v>3499</v>
      </c>
      <c r="D389" s="7" t="s">
        <v>3500</v>
      </c>
      <c r="E389" s="7" t="s">
        <v>3501</v>
      </c>
      <c r="F389" s="8" t="s">
        <v>2562</v>
      </c>
      <c r="G389" s="7" t="s">
        <v>3566</v>
      </c>
      <c r="H389" s="274">
        <v>45098</v>
      </c>
      <c r="I389" s="295">
        <v>60</v>
      </c>
      <c r="J389" s="276">
        <v>1248</v>
      </c>
      <c r="K389" s="276">
        <f>J389/I389</f>
        <v>20.8</v>
      </c>
      <c r="L389" s="216"/>
    </row>
    <row r="390" spans="2:12" s="215" customFormat="1" ht="15.6">
      <c r="B390" s="272" t="s">
        <v>2491</v>
      </c>
      <c r="C390" s="323" t="s">
        <v>3512</v>
      </c>
      <c r="D390" s="10" t="s">
        <v>3513</v>
      </c>
      <c r="E390" s="7" t="s">
        <v>3514</v>
      </c>
      <c r="F390" s="8" t="s">
        <v>2562</v>
      </c>
      <c r="G390" s="7" t="s">
        <v>3443</v>
      </c>
      <c r="H390" s="274">
        <v>45071</v>
      </c>
      <c r="I390" s="295">
        <v>60</v>
      </c>
      <c r="J390" s="276">
        <v>3420</v>
      </c>
      <c r="K390" s="276">
        <f>J390/I390</f>
        <v>57</v>
      </c>
      <c r="L390" s="216"/>
    </row>
    <row r="391" spans="2:12" s="215" customFormat="1" ht="15.6">
      <c r="B391" s="272" t="s">
        <v>2494</v>
      </c>
      <c r="C391" s="6" t="s">
        <v>3520</v>
      </c>
      <c r="D391" s="7" t="s">
        <v>3521</v>
      </c>
      <c r="E391" s="7" t="s">
        <v>3522</v>
      </c>
      <c r="F391" s="8" t="s">
        <v>2562</v>
      </c>
      <c r="G391" s="7">
        <v>31</v>
      </c>
      <c r="H391" s="274">
        <v>45110</v>
      </c>
      <c r="I391" s="275">
        <v>60</v>
      </c>
      <c r="J391" s="276">
        <v>1800</v>
      </c>
      <c r="K391" s="276">
        <f>J391/I391</f>
        <v>30</v>
      </c>
      <c r="L391" s="216"/>
    </row>
    <row r="392" spans="2:12" s="215" customFormat="1" ht="15.6">
      <c r="B392" s="552" t="s">
        <v>4129</v>
      </c>
      <c r="C392" s="552"/>
      <c r="D392" s="552"/>
      <c r="E392" s="552"/>
      <c r="F392" s="552"/>
      <c r="G392" s="552"/>
      <c r="H392" s="552"/>
      <c r="I392" s="281"/>
      <c r="J392" s="281"/>
      <c r="K392" s="281"/>
      <c r="L392" s="216"/>
    </row>
    <row r="393" spans="2:12" s="215" customFormat="1" ht="15.6">
      <c r="B393" s="289"/>
      <c r="C393" s="278"/>
      <c r="D393" s="279"/>
      <c r="E393" s="279"/>
      <c r="F393" s="279"/>
      <c r="G393" s="279"/>
      <c r="H393" s="279"/>
      <c r="I393" s="281"/>
      <c r="J393" s="275" t="s">
        <v>2483</v>
      </c>
      <c r="K393" s="276">
        <f>AVERAGE(K389:K391)</f>
        <v>35.93333333333333</v>
      </c>
    </row>
    <row r="394" spans="2:12" s="215" customFormat="1" ht="15.6">
      <c r="B394" s="289"/>
      <c r="C394" s="278"/>
      <c r="D394" s="279"/>
      <c r="E394" s="279"/>
      <c r="F394" s="279"/>
      <c r="G394" s="279"/>
      <c r="H394" s="279"/>
      <c r="I394" s="281"/>
      <c r="J394" s="275" t="s">
        <v>2484</v>
      </c>
      <c r="K394" s="276">
        <f>MEDIAN(K389:K391)</f>
        <v>30</v>
      </c>
    </row>
    <row r="395" spans="2:12" s="215" customFormat="1" ht="15.6">
      <c r="B395" s="314"/>
      <c r="C395" s="319"/>
      <c r="D395" s="314"/>
      <c r="E395" s="314"/>
      <c r="F395" s="314"/>
      <c r="G395" s="320"/>
      <c r="H395" s="321"/>
      <c r="I395" s="322"/>
      <c r="J395" s="322"/>
      <c r="K395" s="310"/>
    </row>
    <row r="396" spans="2:12" s="215" customFormat="1" ht="15.6">
      <c r="B396" s="6" t="s">
        <v>3189</v>
      </c>
      <c r="C396" s="282" t="s">
        <v>3562</v>
      </c>
      <c r="D396" s="284"/>
      <c r="E396" s="284"/>
      <c r="F396" s="284"/>
      <c r="G396" s="284"/>
      <c r="H396" s="285"/>
      <c r="I396" s="286"/>
      <c r="J396" s="271"/>
      <c r="K396" s="271">
        <f>SMALL(K402:K403,1)</f>
        <v>56.625</v>
      </c>
    </row>
    <row r="397" spans="2:12" s="215" customFormat="1" ht="15.6">
      <c r="B397" s="272" t="s">
        <v>2490</v>
      </c>
      <c r="C397" s="296" t="s">
        <v>3520</v>
      </c>
      <c r="D397" s="7" t="s">
        <v>3521</v>
      </c>
      <c r="E397" s="7" t="s">
        <v>3522</v>
      </c>
      <c r="F397" s="8" t="s">
        <v>2562</v>
      </c>
      <c r="G397" s="7">
        <v>8</v>
      </c>
      <c r="H397" s="274">
        <v>45110</v>
      </c>
      <c r="I397" s="295">
        <v>70</v>
      </c>
      <c r="J397" s="276">
        <v>3850</v>
      </c>
      <c r="K397" s="276">
        <f>J397/I397</f>
        <v>55</v>
      </c>
      <c r="L397" s="216"/>
    </row>
    <row r="398" spans="2:12" s="215" customFormat="1" ht="15.6">
      <c r="B398" s="272" t="s">
        <v>2491</v>
      </c>
      <c r="C398" s="323" t="s">
        <v>3512</v>
      </c>
      <c r="D398" s="10" t="s">
        <v>3513</v>
      </c>
      <c r="E398" s="7" t="s">
        <v>3514</v>
      </c>
      <c r="F398" s="8" t="s">
        <v>2562</v>
      </c>
      <c r="G398" s="7" t="s">
        <v>3443</v>
      </c>
      <c r="H398" s="274">
        <v>45071</v>
      </c>
      <c r="I398" s="295">
        <v>495</v>
      </c>
      <c r="J398" s="276">
        <v>28215</v>
      </c>
      <c r="K398" s="276">
        <f>J398/I398</f>
        <v>57</v>
      </c>
      <c r="L398" s="216"/>
    </row>
    <row r="399" spans="2:12" s="215" customFormat="1" ht="15.6">
      <c r="B399" s="272" t="s">
        <v>2494</v>
      </c>
      <c r="C399" s="323" t="s">
        <v>3499</v>
      </c>
      <c r="D399" s="7" t="s">
        <v>3500</v>
      </c>
      <c r="E399" s="7" t="s">
        <v>3501</v>
      </c>
      <c r="F399" s="8" t="s">
        <v>2562</v>
      </c>
      <c r="G399" s="7" t="s">
        <v>3539</v>
      </c>
      <c r="H399" s="274">
        <v>45098</v>
      </c>
      <c r="I399" s="275">
        <v>70</v>
      </c>
      <c r="J399" s="276">
        <v>3937.5</v>
      </c>
      <c r="K399" s="276">
        <f>J399/I399</f>
        <v>56.25</v>
      </c>
      <c r="L399" s="216"/>
    </row>
    <row r="400" spans="2:12" s="215" customFormat="1" ht="15.6">
      <c r="B400" s="272" t="s">
        <v>2608</v>
      </c>
      <c r="C400" s="323" t="s">
        <v>3502</v>
      </c>
      <c r="D400" s="7" t="s">
        <v>3492</v>
      </c>
      <c r="E400" s="7" t="s">
        <v>3493</v>
      </c>
      <c r="F400" s="8" t="s">
        <v>2562</v>
      </c>
      <c r="G400" s="7" t="s">
        <v>3443</v>
      </c>
      <c r="H400" s="274">
        <v>44988</v>
      </c>
      <c r="I400" s="275">
        <v>70</v>
      </c>
      <c r="J400" s="276">
        <v>4200</v>
      </c>
      <c r="K400" s="276">
        <f>J400/I400</f>
        <v>60</v>
      </c>
      <c r="L400" s="216"/>
    </row>
    <row r="401" spans="2:12" s="215" customFormat="1" ht="15.6">
      <c r="B401" s="552" t="s">
        <v>4129</v>
      </c>
      <c r="C401" s="552"/>
      <c r="D401" s="552"/>
      <c r="E401" s="552"/>
      <c r="F401" s="552"/>
      <c r="G401" s="552"/>
      <c r="H401" s="552"/>
      <c r="I401" s="281"/>
      <c r="J401" s="281"/>
      <c r="K401" s="281"/>
    </row>
    <row r="402" spans="2:12" s="215" customFormat="1" ht="15.6">
      <c r="B402" s="289"/>
      <c r="C402" s="278"/>
      <c r="D402" s="279"/>
      <c r="E402" s="279"/>
      <c r="F402" s="279"/>
      <c r="G402" s="279"/>
      <c r="H402" s="279"/>
      <c r="I402" s="281"/>
      <c r="J402" s="275" t="s">
        <v>2483</v>
      </c>
      <c r="K402" s="276">
        <f>AVERAGE(K397:K400)</f>
        <v>57.0625</v>
      </c>
    </row>
    <row r="403" spans="2:12" s="215" customFormat="1" ht="15.6">
      <c r="B403" s="289"/>
      <c r="C403" s="278"/>
      <c r="D403" s="279"/>
      <c r="E403" s="279"/>
      <c r="F403" s="279"/>
      <c r="G403" s="279"/>
      <c r="H403" s="279"/>
      <c r="I403" s="281"/>
      <c r="J403" s="275" t="s">
        <v>2484</v>
      </c>
      <c r="K403" s="276">
        <f>MEDIAN(K397:K400)</f>
        <v>56.625</v>
      </c>
    </row>
    <row r="404" spans="2:12" s="215" customFormat="1" ht="15.6">
      <c r="B404" s="314"/>
      <c r="C404" s="319"/>
      <c r="D404" s="314"/>
      <c r="E404" s="314"/>
      <c r="F404" s="314"/>
      <c r="G404" s="320"/>
      <c r="H404" s="321"/>
      <c r="I404" s="322"/>
      <c r="J404" s="322"/>
      <c r="K404" s="310"/>
    </row>
    <row r="405" spans="2:12" s="215" customFormat="1" ht="15.6">
      <c r="B405" s="6" t="s">
        <v>3192</v>
      </c>
      <c r="C405" s="282" t="s">
        <v>3191</v>
      </c>
      <c r="D405" s="284"/>
      <c r="E405" s="284"/>
      <c r="F405" s="284"/>
      <c r="G405" s="284"/>
      <c r="H405" s="285"/>
      <c r="I405" s="286"/>
      <c r="J405" s="271"/>
      <c r="K405" s="271">
        <f>SMALL(K410:K411,1)</f>
        <v>59.5</v>
      </c>
    </row>
    <row r="406" spans="2:12" s="215" customFormat="1" ht="15.6">
      <c r="B406" s="272" t="s">
        <v>2490</v>
      </c>
      <c r="C406" s="323" t="s">
        <v>3512</v>
      </c>
      <c r="D406" s="10" t="s">
        <v>3513</v>
      </c>
      <c r="E406" s="7" t="s">
        <v>3514</v>
      </c>
      <c r="F406" s="8" t="s">
        <v>2562</v>
      </c>
      <c r="G406" s="7" t="s">
        <v>3443</v>
      </c>
      <c r="H406" s="274">
        <v>45071</v>
      </c>
      <c r="I406" s="295">
        <v>50</v>
      </c>
      <c r="J406" s="276">
        <v>2850</v>
      </c>
      <c r="K406" s="276">
        <f>J406/I406</f>
        <v>57</v>
      </c>
      <c r="L406" s="216"/>
    </row>
    <row r="407" spans="2:12" s="215" customFormat="1" ht="15.6">
      <c r="B407" s="272" t="s">
        <v>2491</v>
      </c>
      <c r="C407" s="323" t="s">
        <v>3502</v>
      </c>
      <c r="D407" s="7" t="s">
        <v>3492</v>
      </c>
      <c r="E407" s="7" t="s">
        <v>3493</v>
      </c>
      <c r="F407" s="8" t="s">
        <v>2562</v>
      </c>
      <c r="G407" s="7" t="s">
        <v>3443</v>
      </c>
      <c r="H407" s="274">
        <v>45070</v>
      </c>
      <c r="I407" s="295">
        <v>50</v>
      </c>
      <c r="J407" s="276">
        <v>2975</v>
      </c>
      <c r="K407" s="276">
        <f>J407/I407</f>
        <v>59.5</v>
      </c>
      <c r="L407" s="216"/>
    </row>
    <row r="408" spans="2:12" s="215" customFormat="1" ht="15.6">
      <c r="B408" s="272" t="s">
        <v>2494</v>
      </c>
      <c r="C408" s="6" t="s">
        <v>3540</v>
      </c>
      <c r="D408" s="7" t="s">
        <v>3541</v>
      </c>
      <c r="E408" s="10" t="s">
        <v>3542</v>
      </c>
      <c r="F408" s="8" t="s">
        <v>2562</v>
      </c>
      <c r="G408" s="7" t="s">
        <v>3543</v>
      </c>
      <c r="H408" s="274">
        <v>45089</v>
      </c>
      <c r="I408" s="275">
        <v>1</v>
      </c>
      <c r="J408" s="276">
        <v>72</v>
      </c>
      <c r="K408" s="276">
        <f>J408/I408</f>
        <v>72</v>
      </c>
      <c r="L408" s="216"/>
    </row>
    <row r="409" spans="2:12" s="215" customFormat="1" ht="15.6">
      <c r="B409" s="552" t="s">
        <v>4128</v>
      </c>
      <c r="C409" s="552"/>
      <c r="D409" s="552"/>
      <c r="E409" s="552"/>
      <c r="F409" s="552"/>
      <c r="G409" s="552"/>
      <c r="H409" s="552"/>
      <c r="I409" s="281"/>
      <c r="J409" s="281"/>
      <c r="K409" s="281"/>
      <c r="L409" s="216"/>
    </row>
    <row r="410" spans="2:12" s="215" customFormat="1" ht="15.6">
      <c r="B410" s="289"/>
      <c r="C410" s="278"/>
      <c r="D410" s="279"/>
      <c r="E410" s="279"/>
      <c r="F410" s="279"/>
      <c r="G410" s="279"/>
      <c r="H410" s="279"/>
      <c r="I410" s="281"/>
      <c r="J410" s="275" t="s">
        <v>2483</v>
      </c>
      <c r="K410" s="276">
        <f>AVERAGE(K406:K408)</f>
        <v>62.833333333333336</v>
      </c>
    </row>
    <row r="411" spans="2:12" s="215" customFormat="1" ht="15.6">
      <c r="B411" s="289"/>
      <c r="C411" s="278"/>
      <c r="D411" s="279"/>
      <c r="E411" s="279"/>
      <c r="F411" s="279"/>
      <c r="G411" s="279"/>
      <c r="H411" s="279"/>
      <c r="I411" s="281"/>
      <c r="J411" s="275" t="s">
        <v>2484</v>
      </c>
      <c r="K411" s="276">
        <f>MEDIAN(K406:K408)</f>
        <v>59.5</v>
      </c>
    </row>
    <row r="412" spans="2:12" s="215" customFormat="1" ht="15.6">
      <c r="B412" s="314"/>
      <c r="C412" s="319"/>
      <c r="D412" s="314"/>
      <c r="E412" s="314"/>
      <c r="F412" s="314"/>
      <c r="G412" s="320"/>
      <c r="H412" s="321"/>
      <c r="I412" s="322"/>
      <c r="J412" s="322"/>
      <c r="K412" s="310"/>
    </row>
    <row r="413" spans="2:12" s="215" customFormat="1" ht="15.6">
      <c r="B413" s="6" t="s">
        <v>3193</v>
      </c>
      <c r="C413" s="282" t="s">
        <v>3194</v>
      </c>
      <c r="D413" s="284"/>
      <c r="E413" s="284"/>
      <c r="F413" s="284"/>
      <c r="G413" s="284"/>
      <c r="H413" s="285"/>
      <c r="I413" s="286"/>
      <c r="J413" s="271"/>
      <c r="K413" s="271">
        <f>SMALL(K418:K419,1)</f>
        <v>37.06666666666667</v>
      </c>
    </row>
    <row r="414" spans="2:12" s="215" customFormat="1" ht="15.6">
      <c r="B414" s="272" t="s">
        <v>2490</v>
      </c>
      <c r="C414" s="296" t="s">
        <v>3544</v>
      </c>
      <c r="D414" s="7" t="s">
        <v>3545</v>
      </c>
      <c r="E414" s="7" t="s">
        <v>3546</v>
      </c>
      <c r="F414" s="8" t="s">
        <v>2562</v>
      </c>
      <c r="G414" s="7" t="s">
        <v>3443</v>
      </c>
      <c r="H414" s="274">
        <v>45075</v>
      </c>
      <c r="I414" s="295">
        <v>1</v>
      </c>
      <c r="J414" s="276">
        <v>33.9</v>
      </c>
      <c r="K414" s="276">
        <f>J414/I414</f>
        <v>33.9</v>
      </c>
      <c r="L414" s="216"/>
    </row>
    <row r="415" spans="2:12" s="215" customFormat="1" ht="15.6">
      <c r="B415" s="272" t="s">
        <v>2491</v>
      </c>
      <c r="C415" s="323" t="s">
        <v>3512</v>
      </c>
      <c r="D415" s="10" t="s">
        <v>3513</v>
      </c>
      <c r="E415" s="7" t="s">
        <v>3514</v>
      </c>
      <c r="F415" s="8" t="s">
        <v>2562</v>
      </c>
      <c r="G415" s="7" t="s">
        <v>3443</v>
      </c>
      <c r="H415" s="274">
        <v>45071</v>
      </c>
      <c r="I415" s="295">
        <v>30</v>
      </c>
      <c r="J415" s="276">
        <v>1140</v>
      </c>
      <c r="K415" s="276">
        <f>J415/I415</f>
        <v>38</v>
      </c>
      <c r="L415" s="216"/>
    </row>
    <row r="416" spans="2:12" s="215" customFormat="1" ht="15.6">
      <c r="B416" s="272" t="s">
        <v>2494</v>
      </c>
      <c r="C416" s="323" t="s">
        <v>3547</v>
      </c>
      <c r="D416" s="7" t="s">
        <v>3548</v>
      </c>
      <c r="E416" s="7" t="s">
        <v>3549</v>
      </c>
      <c r="F416" s="8" t="s">
        <v>2562</v>
      </c>
      <c r="G416" s="7" t="s">
        <v>3550</v>
      </c>
      <c r="H416" s="274">
        <v>45105</v>
      </c>
      <c r="I416" s="275">
        <v>1</v>
      </c>
      <c r="J416" s="276">
        <v>39.299999999999997</v>
      </c>
      <c r="K416" s="276">
        <f>J416/I416</f>
        <v>39.299999999999997</v>
      </c>
      <c r="L416" s="216"/>
    </row>
    <row r="417" spans="2:12" s="215" customFormat="1" ht="15.6">
      <c r="B417" s="552" t="s">
        <v>4128</v>
      </c>
      <c r="C417" s="552"/>
      <c r="D417" s="552"/>
      <c r="E417" s="552"/>
      <c r="F417" s="552"/>
      <c r="G417" s="552"/>
      <c r="H417" s="552"/>
      <c r="I417" s="281"/>
      <c r="J417" s="281"/>
      <c r="K417" s="281"/>
      <c r="L417" s="216"/>
    </row>
    <row r="418" spans="2:12" s="215" customFormat="1" ht="15.6">
      <c r="B418" s="289"/>
      <c r="C418" s="278"/>
      <c r="D418" s="279"/>
      <c r="E418" s="279"/>
      <c r="F418" s="279"/>
      <c r="G418" s="279"/>
      <c r="H418" s="279"/>
      <c r="I418" s="281"/>
      <c r="J418" s="275" t="s">
        <v>2483</v>
      </c>
      <c r="K418" s="276">
        <f>AVERAGE(K414:K416)</f>
        <v>37.06666666666667</v>
      </c>
    </row>
    <row r="419" spans="2:12" s="215" customFormat="1" ht="15.6">
      <c r="B419" s="289"/>
      <c r="C419" s="278"/>
      <c r="D419" s="279"/>
      <c r="E419" s="279"/>
      <c r="F419" s="279"/>
      <c r="G419" s="279"/>
      <c r="H419" s="279"/>
      <c r="I419" s="281"/>
      <c r="J419" s="275" t="s">
        <v>2484</v>
      </c>
      <c r="K419" s="276">
        <f>MEDIAN(K414:K416)</f>
        <v>38</v>
      </c>
    </row>
    <row r="420" spans="2:12" s="215" customFormat="1" ht="15.6">
      <c r="B420" s="314"/>
      <c r="C420" s="319"/>
      <c r="D420" s="314"/>
      <c r="E420" s="314"/>
      <c r="F420" s="314"/>
      <c r="G420" s="320"/>
      <c r="H420" s="321"/>
      <c r="I420" s="322"/>
      <c r="J420" s="322"/>
      <c r="K420" s="310"/>
    </row>
    <row r="421" spans="2:12" s="215" customFormat="1" ht="15.6">
      <c r="B421" s="6" t="s">
        <v>3230</v>
      </c>
      <c r="C421" s="282" t="s">
        <v>3231</v>
      </c>
      <c r="D421" s="284"/>
      <c r="E421" s="284"/>
      <c r="F421" s="284"/>
      <c r="G421" s="284"/>
      <c r="H421" s="285"/>
      <c r="I421" s="286"/>
      <c r="J421" s="271"/>
      <c r="K421" s="271">
        <f>SMALL(K426:K427,1)</f>
        <v>5.333333333333333</v>
      </c>
    </row>
    <row r="422" spans="2:12" s="215" customFormat="1" ht="15.6">
      <c r="B422" s="272" t="s">
        <v>2490</v>
      </c>
      <c r="C422" s="296" t="s">
        <v>3506</v>
      </c>
      <c r="D422" s="7" t="s">
        <v>3507</v>
      </c>
      <c r="E422" s="7" t="s">
        <v>3508</v>
      </c>
      <c r="F422" s="8" t="s">
        <v>2114</v>
      </c>
      <c r="G422" s="7">
        <v>21</v>
      </c>
      <c r="H422" s="274">
        <v>44998</v>
      </c>
      <c r="I422" s="295">
        <v>25</v>
      </c>
      <c r="J422" s="276">
        <v>137.5</v>
      </c>
      <c r="K422" s="276">
        <f>J422/I422</f>
        <v>5.5</v>
      </c>
      <c r="L422" s="216"/>
    </row>
    <row r="423" spans="2:12" s="215" customFormat="1" ht="15.6">
      <c r="B423" s="272" t="s">
        <v>2491</v>
      </c>
      <c r="C423" s="296" t="s">
        <v>3503</v>
      </c>
      <c r="D423" s="7" t="s">
        <v>3504</v>
      </c>
      <c r="E423" s="7" t="s">
        <v>3505</v>
      </c>
      <c r="F423" s="8" t="s">
        <v>2114</v>
      </c>
      <c r="G423" s="7">
        <v>21</v>
      </c>
      <c r="H423" s="274">
        <v>44992</v>
      </c>
      <c r="I423" s="295">
        <v>25</v>
      </c>
      <c r="J423" s="276">
        <v>125</v>
      </c>
      <c r="K423" s="276">
        <f>J423/I423</f>
        <v>5</v>
      </c>
      <c r="L423" s="216"/>
    </row>
    <row r="424" spans="2:12" s="215" customFormat="1" ht="15.6">
      <c r="B424" s="272" t="s">
        <v>2494</v>
      </c>
      <c r="C424" s="323" t="s">
        <v>3502</v>
      </c>
      <c r="D424" s="7" t="s">
        <v>3492</v>
      </c>
      <c r="E424" s="7" t="s">
        <v>3493</v>
      </c>
      <c r="F424" s="8" t="s">
        <v>2114</v>
      </c>
      <c r="G424" s="7" t="s">
        <v>3443</v>
      </c>
      <c r="H424" s="274">
        <v>45070</v>
      </c>
      <c r="I424" s="275">
        <v>259</v>
      </c>
      <c r="J424" s="276">
        <v>1424.5</v>
      </c>
      <c r="K424" s="276">
        <f>J424/I424</f>
        <v>5.5</v>
      </c>
      <c r="L424" s="216"/>
    </row>
    <row r="425" spans="2:12" s="215" customFormat="1" ht="15.6">
      <c r="B425" s="289"/>
      <c r="C425" s="278"/>
      <c r="D425" s="279"/>
      <c r="E425" s="279"/>
      <c r="F425" s="279"/>
      <c r="G425" s="279"/>
      <c r="H425" s="279"/>
      <c r="I425" s="281"/>
      <c r="J425" s="281"/>
      <c r="K425" s="281"/>
      <c r="L425" s="216"/>
    </row>
    <row r="426" spans="2:12" s="215" customFormat="1" ht="15.6">
      <c r="B426" s="289"/>
      <c r="C426" s="278"/>
      <c r="D426" s="279"/>
      <c r="E426" s="279"/>
      <c r="F426" s="279"/>
      <c r="G426" s="279"/>
      <c r="H426" s="279"/>
      <c r="I426" s="281"/>
      <c r="J426" s="275" t="s">
        <v>2483</v>
      </c>
      <c r="K426" s="276">
        <f>AVERAGE(K422:K424)</f>
        <v>5.333333333333333</v>
      </c>
    </row>
    <row r="427" spans="2:12" s="215" customFormat="1" ht="15.6">
      <c r="B427" s="289"/>
      <c r="C427" s="278"/>
      <c r="D427" s="279"/>
      <c r="E427" s="279"/>
      <c r="F427" s="279"/>
      <c r="G427" s="279"/>
      <c r="H427" s="279"/>
      <c r="I427" s="281"/>
      <c r="J427" s="275" t="s">
        <v>2484</v>
      </c>
      <c r="K427" s="276">
        <f>MEDIAN(K422:K424)</f>
        <v>5.5</v>
      </c>
    </row>
    <row r="428" spans="2:12" s="215" customFormat="1" ht="15.6">
      <c r="B428" s="304"/>
      <c r="C428" s="324"/>
      <c r="D428" s="304"/>
      <c r="E428" s="304"/>
      <c r="F428" s="304"/>
      <c r="G428" s="307"/>
      <c r="H428" s="308"/>
      <c r="I428" s="309"/>
      <c r="J428" s="309"/>
      <c r="K428" s="310"/>
    </row>
    <row r="429" spans="2:12" s="215" customFormat="1" ht="15.6">
      <c r="B429" s="6" t="s">
        <v>3232</v>
      </c>
      <c r="C429" s="282" t="s">
        <v>3999</v>
      </c>
      <c r="D429" s="284"/>
      <c r="E429" s="284"/>
      <c r="F429" s="284"/>
      <c r="G429" s="284"/>
      <c r="H429" s="285"/>
      <c r="I429" s="286"/>
      <c r="J429" s="271"/>
      <c r="K429" s="271">
        <f>SMALL(K434:K435,1)</f>
        <v>260.98744292237444</v>
      </c>
    </row>
    <row r="430" spans="2:12" s="215" customFormat="1" ht="15.6">
      <c r="B430" s="272" t="s">
        <v>2490</v>
      </c>
      <c r="C430" s="296" t="s">
        <v>3555</v>
      </c>
      <c r="D430" s="7" t="s">
        <v>3443</v>
      </c>
      <c r="E430" s="7" t="s">
        <v>3443</v>
      </c>
      <c r="F430" s="8" t="s">
        <v>2889</v>
      </c>
      <c r="G430" s="7" t="s">
        <v>3554</v>
      </c>
      <c r="H430" s="272" t="s">
        <v>3556</v>
      </c>
      <c r="I430" s="295">
        <v>1</v>
      </c>
      <c r="J430" s="276">
        <v>295.26</v>
      </c>
      <c r="K430" s="276">
        <f>J430/I430</f>
        <v>295.26</v>
      </c>
      <c r="L430" s="216"/>
    </row>
    <row r="431" spans="2:12" s="215" customFormat="1" ht="15.6">
      <c r="B431" s="272" t="s">
        <v>2491</v>
      </c>
      <c r="C431" s="296" t="s">
        <v>3557</v>
      </c>
      <c r="D431" s="10" t="s">
        <v>3558</v>
      </c>
      <c r="E431" s="7" t="s">
        <v>3559</v>
      </c>
      <c r="F431" s="8" t="s">
        <v>2889</v>
      </c>
      <c r="G431" s="7" t="s">
        <v>3443</v>
      </c>
      <c r="H431" s="274">
        <v>45098</v>
      </c>
      <c r="I431" s="295">
        <v>350.4</v>
      </c>
      <c r="J431" s="276">
        <v>91450</v>
      </c>
      <c r="K431" s="276">
        <f t="shared" ref="K431" si="4">J431/I431</f>
        <v>260.98744292237444</v>
      </c>
      <c r="L431" s="216"/>
    </row>
    <row r="432" spans="2:12" s="215" customFormat="1" ht="15.6">
      <c r="B432" s="272" t="s">
        <v>2494</v>
      </c>
      <c r="C432" s="6" t="s">
        <v>3563</v>
      </c>
      <c r="D432" s="7" t="s">
        <v>3564</v>
      </c>
      <c r="E432" s="7" t="s">
        <v>3565</v>
      </c>
      <c r="F432" s="8" t="s">
        <v>2889</v>
      </c>
      <c r="G432" s="7" t="s">
        <v>3443</v>
      </c>
      <c r="H432" s="274">
        <v>45098</v>
      </c>
      <c r="I432" s="275">
        <v>350.4</v>
      </c>
      <c r="J432" s="276">
        <v>84000</v>
      </c>
      <c r="K432" s="276">
        <f>J432/I432</f>
        <v>239.72602739726028</v>
      </c>
      <c r="L432" s="216"/>
    </row>
    <row r="433" spans="2:12" s="215" customFormat="1" ht="15.6">
      <c r="B433" s="289"/>
      <c r="C433" s="278"/>
      <c r="D433" s="279"/>
      <c r="E433" s="279"/>
      <c r="F433" s="279"/>
      <c r="G433" s="279"/>
      <c r="H433" s="279"/>
      <c r="I433" s="281"/>
      <c r="J433" s="281"/>
      <c r="K433" s="281"/>
      <c r="L433" s="216"/>
    </row>
    <row r="434" spans="2:12" s="215" customFormat="1" ht="15.6">
      <c r="B434" s="289"/>
      <c r="C434" s="278"/>
      <c r="D434" s="279"/>
      <c r="E434" s="279"/>
      <c r="F434" s="279"/>
      <c r="G434" s="279"/>
      <c r="H434" s="279"/>
      <c r="I434" s="281"/>
      <c r="J434" s="275" t="s">
        <v>2483</v>
      </c>
      <c r="K434" s="276">
        <f>AVERAGE(K430:K432)</f>
        <v>265.32449010654489</v>
      </c>
    </row>
    <row r="435" spans="2:12" s="215" customFormat="1" ht="15.6">
      <c r="B435" s="289"/>
      <c r="C435" s="278"/>
      <c r="D435" s="279"/>
      <c r="E435" s="279"/>
      <c r="F435" s="279"/>
      <c r="G435" s="279"/>
      <c r="H435" s="279"/>
      <c r="I435" s="281"/>
      <c r="J435" s="275" t="s">
        <v>2484</v>
      </c>
      <c r="K435" s="276">
        <f>MEDIAN(K430,K431,K432)</f>
        <v>260.98744292237444</v>
      </c>
    </row>
    <row r="436" spans="2:12" s="215" customFormat="1" ht="15.6">
      <c r="B436" s="304"/>
      <c r="C436" s="324"/>
      <c r="D436" s="304"/>
      <c r="E436" s="304"/>
      <c r="F436" s="304"/>
      <c r="G436" s="307"/>
      <c r="H436" s="308"/>
      <c r="I436" s="309"/>
      <c r="J436" s="309"/>
      <c r="K436" s="310"/>
    </row>
    <row r="437" spans="2:12" s="215" customFormat="1" ht="15.6">
      <c r="B437" s="6" t="s">
        <v>3471</v>
      </c>
      <c r="C437" s="282" t="s">
        <v>3472</v>
      </c>
      <c r="D437" s="284"/>
      <c r="E437" s="284"/>
      <c r="F437" s="284"/>
      <c r="G437" s="284"/>
      <c r="H437" s="285"/>
      <c r="I437" s="286"/>
      <c r="J437" s="271"/>
      <c r="K437" s="271">
        <f>SMALL(K442:K443,1)</f>
        <v>7.2450000000000001</v>
      </c>
    </row>
    <row r="438" spans="2:12" s="215" customFormat="1" ht="15.6">
      <c r="B438" s="272" t="s">
        <v>2490</v>
      </c>
      <c r="C438" s="317" t="s">
        <v>3480</v>
      </c>
      <c r="D438" s="7" t="s">
        <v>3481</v>
      </c>
      <c r="E438" s="7" t="s">
        <v>3482</v>
      </c>
      <c r="F438" s="8" t="s">
        <v>2752</v>
      </c>
      <c r="G438" s="326">
        <v>132797</v>
      </c>
      <c r="H438" s="274">
        <v>45096</v>
      </c>
      <c r="I438" s="295">
        <v>20</v>
      </c>
      <c r="J438" s="276">
        <v>177.49</v>
      </c>
      <c r="K438" s="276">
        <f>J438/I438</f>
        <v>8.8745000000000012</v>
      </c>
      <c r="L438" s="216"/>
    </row>
    <row r="439" spans="2:12" s="215" customFormat="1" ht="15.6">
      <c r="B439" s="272" t="s">
        <v>2491</v>
      </c>
      <c r="C439" s="6" t="s">
        <v>2602</v>
      </c>
      <c r="D439" s="7" t="s">
        <v>2603</v>
      </c>
      <c r="E439" s="288" t="s">
        <v>2604</v>
      </c>
      <c r="F439" s="8" t="s">
        <v>2752</v>
      </c>
      <c r="G439" s="7">
        <v>89419603</v>
      </c>
      <c r="H439" s="274">
        <v>45096</v>
      </c>
      <c r="I439" s="295">
        <v>20</v>
      </c>
      <c r="J439" s="276">
        <v>144.9</v>
      </c>
      <c r="K439" s="276">
        <f>J439/I439</f>
        <v>7.2450000000000001</v>
      </c>
      <c r="L439" s="216"/>
    </row>
    <row r="440" spans="2:12" s="215" customFormat="1" ht="15.6">
      <c r="B440" s="272" t="s">
        <v>2494</v>
      </c>
      <c r="C440" s="327" t="s">
        <v>3483</v>
      </c>
      <c r="D440" s="7" t="s">
        <v>3484</v>
      </c>
      <c r="E440" s="7" t="s">
        <v>3485</v>
      </c>
      <c r="F440" s="8" t="s">
        <v>2752</v>
      </c>
      <c r="G440" s="7">
        <v>596650</v>
      </c>
      <c r="H440" s="274">
        <v>45096</v>
      </c>
      <c r="I440" s="275">
        <v>20</v>
      </c>
      <c r="J440" s="276">
        <v>140.99</v>
      </c>
      <c r="K440" s="276">
        <f>J440/I440</f>
        <v>7.0495000000000001</v>
      </c>
      <c r="L440" s="216"/>
    </row>
    <row r="441" spans="2:12" s="215" customFormat="1" ht="15.6">
      <c r="B441" s="289"/>
      <c r="C441" s="278"/>
      <c r="D441" s="279"/>
      <c r="E441" s="279"/>
      <c r="F441" s="279"/>
      <c r="G441" s="279"/>
      <c r="H441" s="279"/>
      <c r="I441" s="281"/>
      <c r="J441" s="281"/>
      <c r="K441" s="281"/>
      <c r="L441" s="216"/>
    </row>
    <row r="442" spans="2:12" s="215" customFormat="1" ht="15.6">
      <c r="B442" s="289"/>
      <c r="C442" s="278"/>
      <c r="D442" s="279"/>
      <c r="E442" s="279"/>
      <c r="F442" s="279"/>
      <c r="G442" s="279"/>
      <c r="H442" s="279"/>
      <c r="I442" s="281"/>
      <c r="J442" s="275" t="s">
        <v>2483</v>
      </c>
      <c r="K442" s="276">
        <f>AVERAGE(K438:K440)</f>
        <v>7.7230000000000016</v>
      </c>
    </row>
    <row r="443" spans="2:12" s="215" customFormat="1" ht="15.6">
      <c r="B443" s="289"/>
      <c r="C443" s="278"/>
      <c r="D443" s="279"/>
      <c r="E443" s="279"/>
      <c r="F443" s="279"/>
      <c r="G443" s="279"/>
      <c r="H443" s="279"/>
      <c r="I443" s="281"/>
      <c r="J443" s="275" t="s">
        <v>2484</v>
      </c>
      <c r="K443" s="276">
        <f>MEDIAN(K438:K440)</f>
        <v>7.2450000000000001</v>
      </c>
    </row>
    <row r="444" spans="2:12" s="215" customFormat="1" ht="15.6">
      <c r="B444" s="289"/>
      <c r="C444" s="278"/>
      <c r="D444" s="279"/>
      <c r="E444" s="279"/>
      <c r="F444" s="279"/>
      <c r="G444" s="279"/>
      <c r="H444" s="279"/>
      <c r="I444" s="281"/>
      <c r="J444" s="292"/>
      <c r="K444" s="293"/>
    </row>
    <row r="445" spans="2:12" s="215" customFormat="1" ht="15.6">
      <c r="B445" s="6" t="s">
        <v>3473</v>
      </c>
      <c r="C445" s="282" t="s">
        <v>3474</v>
      </c>
      <c r="D445" s="284"/>
      <c r="E445" s="284"/>
      <c r="F445" s="284"/>
      <c r="G445" s="284"/>
      <c r="H445" s="285"/>
      <c r="I445" s="286"/>
      <c r="J445" s="271"/>
      <c r="K445" s="271">
        <f>SMALL(K450:K451,1)</f>
        <v>92.943333333333328</v>
      </c>
    </row>
    <row r="446" spans="2:12" s="215" customFormat="1" ht="15.6">
      <c r="B446" s="272" t="s">
        <v>2490</v>
      </c>
      <c r="C446" s="296" t="s">
        <v>2803</v>
      </c>
      <c r="D446" s="7" t="s">
        <v>3475</v>
      </c>
      <c r="E446" s="7" t="s">
        <v>2876</v>
      </c>
      <c r="F446" s="8" t="s">
        <v>2562</v>
      </c>
      <c r="G446" s="7" t="s">
        <v>3443</v>
      </c>
      <c r="H446" s="274">
        <v>45092</v>
      </c>
      <c r="I446" s="295">
        <v>1</v>
      </c>
      <c r="J446" s="276">
        <v>100.54</v>
      </c>
      <c r="K446" s="276">
        <f>J446/I446</f>
        <v>100.54</v>
      </c>
      <c r="L446" s="216"/>
    </row>
    <row r="447" spans="2:12" s="215" customFormat="1" ht="15.6">
      <c r="B447" s="272" t="s">
        <v>2491</v>
      </c>
      <c r="C447" s="323" t="s">
        <v>3476</v>
      </c>
      <c r="D447" s="10" t="s">
        <v>3477</v>
      </c>
      <c r="E447" s="328" t="s">
        <v>3478</v>
      </c>
      <c r="F447" s="8" t="s">
        <v>2562</v>
      </c>
      <c r="G447" s="7" t="s">
        <v>3443</v>
      </c>
      <c r="H447" s="274">
        <v>45092</v>
      </c>
      <c r="I447" s="295">
        <v>1</v>
      </c>
      <c r="J447" s="276">
        <v>94.99</v>
      </c>
      <c r="K447" s="276">
        <f>J447/I447</f>
        <v>94.99</v>
      </c>
      <c r="L447" s="216"/>
    </row>
    <row r="448" spans="2:12" s="215" customFormat="1" ht="15.6">
      <c r="B448" s="272" t="s">
        <v>2494</v>
      </c>
      <c r="C448" s="327" t="s">
        <v>2575</v>
      </c>
      <c r="D448" s="7" t="s">
        <v>2492</v>
      </c>
      <c r="E448" s="7" t="s">
        <v>2493</v>
      </c>
      <c r="F448" s="8" t="s">
        <v>2562</v>
      </c>
      <c r="G448" s="7" t="s">
        <v>3479</v>
      </c>
      <c r="H448" s="274">
        <v>45092</v>
      </c>
      <c r="I448" s="275">
        <v>1</v>
      </c>
      <c r="J448" s="276">
        <v>83.3</v>
      </c>
      <c r="K448" s="276">
        <f>J448/I448</f>
        <v>83.3</v>
      </c>
      <c r="L448" s="216"/>
    </row>
    <row r="449" spans="2:12" s="215" customFormat="1" ht="15.6">
      <c r="B449" s="289"/>
      <c r="C449" s="278"/>
      <c r="D449" s="279"/>
      <c r="E449" s="279"/>
      <c r="F449" s="279"/>
      <c r="G449" s="279"/>
      <c r="H449" s="279"/>
      <c r="I449" s="281"/>
      <c r="J449" s="281"/>
      <c r="K449" s="281"/>
      <c r="L449" s="216"/>
    </row>
    <row r="450" spans="2:12" s="215" customFormat="1" ht="15.6">
      <c r="B450" s="289"/>
      <c r="C450" s="278"/>
      <c r="D450" s="279"/>
      <c r="E450" s="279"/>
      <c r="F450" s="279"/>
      <c r="G450" s="279"/>
      <c r="H450" s="279"/>
      <c r="I450" s="281"/>
      <c r="J450" s="275" t="s">
        <v>2483</v>
      </c>
      <c r="K450" s="276">
        <f>AVERAGE(K446:K448)</f>
        <v>92.943333333333328</v>
      </c>
    </row>
    <row r="451" spans="2:12" s="215" customFormat="1" ht="15.6">
      <c r="B451" s="289"/>
      <c r="C451" s="278"/>
      <c r="D451" s="279"/>
      <c r="E451" s="279"/>
      <c r="F451" s="279"/>
      <c r="G451" s="279"/>
      <c r="H451" s="279"/>
      <c r="I451" s="281"/>
      <c r="J451" s="275" t="s">
        <v>2484</v>
      </c>
      <c r="K451" s="276">
        <f>MEDIAN(K446:K448)</f>
        <v>94.99</v>
      </c>
    </row>
    <row r="452" spans="2:12" s="215" customFormat="1">
      <c r="B452" s="329"/>
      <c r="C452" s="330"/>
      <c r="D452" s="331"/>
      <c r="E452" s="332"/>
      <c r="F452" s="332"/>
      <c r="G452" s="333"/>
      <c r="H452" s="334"/>
      <c r="I452" s="335"/>
      <c r="J452" s="336"/>
      <c r="K452" s="332"/>
    </row>
    <row r="453" spans="2:12" s="215" customFormat="1" ht="15.6">
      <c r="B453" s="6" t="s">
        <v>3488</v>
      </c>
      <c r="C453" s="282" t="s">
        <v>3061</v>
      </c>
      <c r="D453" s="284"/>
      <c r="E453" s="284"/>
      <c r="F453" s="284"/>
      <c r="G453" s="284"/>
      <c r="H453" s="285"/>
      <c r="I453" s="286"/>
      <c r="J453" s="271"/>
      <c r="K453" s="271">
        <f>SMALL(K458:K459,1)</f>
        <v>239.99999999999994</v>
      </c>
    </row>
    <row r="454" spans="2:12" s="215" customFormat="1" ht="15.6">
      <c r="B454" s="272" t="s">
        <v>2490</v>
      </c>
      <c r="C454" s="298" t="s">
        <v>2789</v>
      </c>
      <c r="D454" s="7" t="s">
        <v>2790</v>
      </c>
      <c r="E454" s="10" t="s">
        <v>2791</v>
      </c>
      <c r="F454" s="8" t="s">
        <v>2889</v>
      </c>
      <c r="G454" s="7"/>
      <c r="H454" s="274">
        <v>45099</v>
      </c>
      <c r="I454" s="295">
        <f>1.1*2.2</f>
        <v>2.4200000000000004</v>
      </c>
      <c r="J454" s="276">
        <v>726</v>
      </c>
      <c r="K454" s="276">
        <f>J454/I454</f>
        <v>299.99999999999994</v>
      </c>
      <c r="L454" s="216"/>
    </row>
    <row r="455" spans="2:12" s="215" customFormat="1" ht="15.6">
      <c r="B455" s="272" t="s">
        <v>2491</v>
      </c>
      <c r="C455" s="323" t="s">
        <v>3960</v>
      </c>
      <c r="D455" s="10" t="s">
        <v>2787</v>
      </c>
      <c r="E455" s="10" t="s">
        <v>2788</v>
      </c>
      <c r="F455" s="8" t="s">
        <v>2889</v>
      </c>
      <c r="G455" s="7"/>
      <c r="H455" s="274">
        <v>45099</v>
      </c>
      <c r="I455" s="295">
        <f>1.1*2.2</f>
        <v>2.4200000000000004</v>
      </c>
      <c r="J455" s="276">
        <v>556.6</v>
      </c>
      <c r="K455" s="276">
        <f>J455/I455</f>
        <v>229.99999999999997</v>
      </c>
      <c r="L455" s="216"/>
    </row>
    <row r="456" spans="2:12" s="215" customFormat="1" ht="15.6">
      <c r="B456" s="272" t="s">
        <v>2494</v>
      </c>
      <c r="C456" s="327" t="s">
        <v>2783</v>
      </c>
      <c r="D456" s="7" t="s">
        <v>2784</v>
      </c>
      <c r="E456" s="7" t="s">
        <v>3961</v>
      </c>
      <c r="F456" s="8" t="s">
        <v>2889</v>
      </c>
      <c r="G456" s="7"/>
      <c r="H456" s="274">
        <v>45104</v>
      </c>
      <c r="I456" s="275">
        <f>2.2*1.1</f>
        <v>2.4200000000000004</v>
      </c>
      <c r="J456" s="276">
        <v>580.79999999999995</v>
      </c>
      <c r="K456" s="276">
        <f>J456/I456</f>
        <v>239.99999999999994</v>
      </c>
      <c r="L456" s="216"/>
    </row>
    <row r="457" spans="2:12" s="215" customFormat="1" ht="15.6">
      <c r="B457" s="289"/>
      <c r="C457" s="278"/>
      <c r="D457" s="279"/>
      <c r="E457" s="279"/>
      <c r="F457" s="279"/>
      <c r="G457" s="279"/>
      <c r="H457" s="279"/>
      <c r="I457" s="281"/>
      <c r="J457" s="281"/>
      <c r="K457" s="281"/>
      <c r="L457" s="216"/>
    </row>
    <row r="458" spans="2:12" s="215" customFormat="1" ht="15.6">
      <c r="B458" s="289"/>
      <c r="C458" s="278"/>
      <c r="D458" s="279"/>
      <c r="E458" s="279"/>
      <c r="F458" s="279"/>
      <c r="G458" s="279"/>
      <c r="H458" s="279"/>
      <c r="I458" s="281"/>
      <c r="J458" s="275" t="s">
        <v>2483</v>
      </c>
      <c r="K458" s="276">
        <f>AVERAGE(K454:K456)</f>
        <v>256.66666666666657</v>
      </c>
    </row>
    <row r="459" spans="2:12" s="215" customFormat="1" ht="15.6">
      <c r="B459" s="289"/>
      <c r="C459" s="278"/>
      <c r="D459" s="279"/>
      <c r="E459" s="279"/>
      <c r="F459" s="279"/>
      <c r="G459" s="279"/>
      <c r="H459" s="279"/>
      <c r="I459" s="281"/>
      <c r="J459" s="275" t="s">
        <v>2484</v>
      </c>
      <c r="K459" s="276">
        <f>MEDIAN(K454:K456)</f>
        <v>239.99999999999994</v>
      </c>
    </row>
    <row r="460" spans="2:12" s="215" customFormat="1">
      <c r="B460" s="329"/>
      <c r="C460" s="330"/>
      <c r="D460" s="331"/>
      <c r="E460" s="332"/>
      <c r="F460" s="332"/>
      <c r="G460" s="333"/>
      <c r="H460" s="334"/>
      <c r="I460" s="335"/>
      <c r="J460" s="336"/>
      <c r="K460" s="332"/>
    </row>
    <row r="461" spans="2:12" s="215" customFormat="1" ht="15.6">
      <c r="B461" s="6" t="s">
        <v>3490</v>
      </c>
      <c r="C461" s="282" t="s">
        <v>3489</v>
      </c>
      <c r="D461" s="284"/>
      <c r="E461" s="284"/>
      <c r="F461" s="284"/>
      <c r="G461" s="284"/>
      <c r="H461" s="285"/>
      <c r="I461" s="286"/>
      <c r="J461" s="271"/>
      <c r="K461" s="271">
        <f>SMALL(K466:K467,1)</f>
        <v>1.75</v>
      </c>
    </row>
    <row r="462" spans="2:12" s="215" customFormat="1" ht="15.6">
      <c r="B462" s="272" t="s">
        <v>2490</v>
      </c>
      <c r="C462" s="296" t="s">
        <v>3491</v>
      </c>
      <c r="D462" s="7" t="s">
        <v>3492</v>
      </c>
      <c r="E462" s="7" t="s">
        <v>3493</v>
      </c>
      <c r="F462" s="8" t="s">
        <v>3494</v>
      </c>
      <c r="G462" s="7"/>
      <c r="H462" s="274">
        <v>45079</v>
      </c>
      <c r="I462" s="295">
        <v>20</v>
      </c>
      <c r="J462" s="276">
        <v>35</v>
      </c>
      <c r="K462" s="276">
        <f>J462/I462</f>
        <v>1.75</v>
      </c>
      <c r="L462" s="216"/>
    </row>
    <row r="463" spans="2:12" s="215" customFormat="1" ht="15.6">
      <c r="B463" s="272" t="s">
        <v>2491</v>
      </c>
      <c r="C463" s="323" t="s">
        <v>3496</v>
      </c>
      <c r="D463" s="10" t="s">
        <v>3497</v>
      </c>
      <c r="E463" s="7" t="s">
        <v>3498</v>
      </c>
      <c r="F463" s="8" t="s">
        <v>3494</v>
      </c>
      <c r="G463" s="7"/>
      <c r="H463" s="274">
        <v>45078</v>
      </c>
      <c r="I463" s="295">
        <v>20</v>
      </c>
      <c r="J463" s="276">
        <v>42</v>
      </c>
      <c r="K463" s="276">
        <f>J463/I463</f>
        <v>2.1</v>
      </c>
      <c r="L463" s="216"/>
    </row>
    <row r="464" spans="2:12" s="215" customFormat="1" ht="15.6">
      <c r="B464" s="272" t="s">
        <v>2494</v>
      </c>
      <c r="C464" s="327" t="s">
        <v>2575</v>
      </c>
      <c r="D464" s="7" t="s">
        <v>2492</v>
      </c>
      <c r="E464" s="7" t="s">
        <v>2493</v>
      </c>
      <c r="F464" s="8" t="s">
        <v>3494</v>
      </c>
      <c r="G464" s="7" t="s">
        <v>3495</v>
      </c>
      <c r="H464" s="274">
        <v>45079</v>
      </c>
      <c r="I464" s="275">
        <v>20</v>
      </c>
      <c r="J464" s="276">
        <v>33</v>
      </c>
      <c r="K464" s="276">
        <f>J464/I464</f>
        <v>1.65</v>
      </c>
      <c r="L464" s="216"/>
    </row>
    <row r="465" spans="2:12" s="215" customFormat="1" ht="15.6">
      <c r="B465" s="289"/>
      <c r="C465" s="278"/>
      <c r="D465" s="279"/>
      <c r="E465" s="279"/>
      <c r="F465" s="279"/>
      <c r="G465" s="279"/>
      <c r="H465" s="279"/>
      <c r="I465" s="281"/>
      <c r="J465" s="281"/>
      <c r="K465" s="281"/>
      <c r="L465" s="216"/>
    </row>
    <row r="466" spans="2:12" s="215" customFormat="1" ht="15.6">
      <c r="B466" s="289"/>
      <c r="C466" s="278"/>
      <c r="D466" s="279"/>
      <c r="E466" s="279"/>
      <c r="F466" s="279"/>
      <c r="G466" s="279"/>
      <c r="H466" s="279"/>
      <c r="I466" s="281"/>
      <c r="J466" s="275" t="s">
        <v>2483</v>
      </c>
      <c r="K466" s="276">
        <f>AVERAGE(K462:K464)</f>
        <v>1.8333333333333333</v>
      </c>
    </row>
    <row r="467" spans="2:12" s="215" customFormat="1" ht="15.6">
      <c r="B467" s="289"/>
      <c r="C467" s="278"/>
      <c r="D467" s="279"/>
      <c r="E467" s="279"/>
      <c r="F467" s="279"/>
      <c r="G467" s="279"/>
      <c r="H467" s="279"/>
      <c r="I467" s="281"/>
      <c r="J467" s="275" t="s">
        <v>2484</v>
      </c>
      <c r="K467" s="276">
        <f>MEDIAN(K462:K464)</f>
        <v>1.75</v>
      </c>
    </row>
    <row r="468" spans="2:12" s="215" customFormat="1">
      <c r="B468" s="329"/>
      <c r="C468" s="330"/>
      <c r="D468" s="331"/>
      <c r="E468" s="332"/>
      <c r="F468" s="332"/>
      <c r="G468" s="333"/>
      <c r="H468" s="334"/>
      <c r="I468" s="335"/>
      <c r="J468" s="336"/>
      <c r="K468" s="332"/>
    </row>
    <row r="469" spans="2:12" s="215" customFormat="1" ht="15.6">
      <c r="B469" s="6" t="s">
        <v>3605</v>
      </c>
      <c r="C469" s="282" t="s">
        <v>3023</v>
      </c>
      <c r="D469" s="284"/>
      <c r="E469" s="284"/>
      <c r="F469" s="284"/>
      <c r="G469" s="284"/>
      <c r="H469" s="285"/>
      <c r="I469" s="286"/>
      <c r="J469" s="271"/>
      <c r="K469" s="271">
        <f>SMALL(K474:K475,1)</f>
        <v>93.033333333333346</v>
      </c>
    </row>
    <row r="470" spans="2:12" s="215" customFormat="1" ht="15.6">
      <c r="B470" s="272" t="s">
        <v>2490</v>
      </c>
      <c r="C470" s="323" t="s">
        <v>3476</v>
      </c>
      <c r="D470" s="10" t="s">
        <v>3477</v>
      </c>
      <c r="E470" s="328" t="s">
        <v>3478</v>
      </c>
      <c r="F470" s="8" t="s">
        <v>2562</v>
      </c>
      <c r="G470" s="7" t="s">
        <v>3443</v>
      </c>
      <c r="H470" s="274">
        <v>45056</v>
      </c>
      <c r="I470" s="295">
        <v>1</v>
      </c>
      <c r="J470" s="276">
        <v>84.12</v>
      </c>
      <c r="K470" s="276">
        <f>J470/I470</f>
        <v>84.12</v>
      </c>
      <c r="L470" s="216"/>
    </row>
    <row r="471" spans="2:12" s="215" customFormat="1" ht="15.6">
      <c r="B471" s="272" t="s">
        <v>2491</v>
      </c>
      <c r="C471" s="323" t="s">
        <v>3606</v>
      </c>
      <c r="D471" s="10" t="s">
        <v>3607</v>
      </c>
      <c r="E471" s="7" t="s">
        <v>3608</v>
      </c>
      <c r="F471" s="8" t="s">
        <v>2562</v>
      </c>
      <c r="G471" s="7">
        <v>85079</v>
      </c>
      <c r="H471" s="274">
        <v>45056</v>
      </c>
      <c r="I471" s="295">
        <v>1</v>
      </c>
      <c r="J471" s="276">
        <v>94.99</v>
      </c>
      <c r="K471" s="276">
        <f>J471/I471</f>
        <v>94.99</v>
      </c>
      <c r="L471" s="216"/>
    </row>
    <row r="472" spans="2:12" s="215" customFormat="1" ht="15.6">
      <c r="B472" s="272" t="s">
        <v>2494</v>
      </c>
      <c r="C472" s="6" t="s">
        <v>2602</v>
      </c>
      <c r="D472" s="7" t="s">
        <v>2603</v>
      </c>
      <c r="E472" s="288" t="s">
        <v>2604</v>
      </c>
      <c r="F472" s="8" t="s">
        <v>2562</v>
      </c>
      <c r="G472" s="294" t="s">
        <v>3609</v>
      </c>
      <c r="H472" s="274">
        <v>45056</v>
      </c>
      <c r="I472" s="275">
        <v>1</v>
      </c>
      <c r="J472" s="276">
        <v>99.99</v>
      </c>
      <c r="K472" s="276">
        <f>J472/I472</f>
        <v>99.99</v>
      </c>
      <c r="L472" s="216"/>
    </row>
    <row r="473" spans="2:12" s="215" customFormat="1" ht="15.6">
      <c r="B473" s="289"/>
      <c r="C473" s="278"/>
      <c r="D473" s="279"/>
      <c r="E473" s="279"/>
      <c r="F473" s="279"/>
      <c r="G473" s="279"/>
      <c r="H473" s="279"/>
      <c r="I473" s="281"/>
      <c r="J473" s="281"/>
      <c r="K473" s="281"/>
      <c r="L473" s="216"/>
    </row>
    <row r="474" spans="2:12" s="215" customFormat="1" ht="15.6">
      <c r="B474" s="289"/>
      <c r="C474" s="278"/>
      <c r="D474" s="279"/>
      <c r="E474" s="279"/>
      <c r="F474" s="279"/>
      <c r="G474" s="279"/>
      <c r="H474" s="279"/>
      <c r="I474" s="281"/>
      <c r="J474" s="275" t="s">
        <v>2483</v>
      </c>
      <c r="K474" s="276">
        <f>AVERAGE(K470:K472)</f>
        <v>93.033333333333346</v>
      </c>
    </row>
    <row r="475" spans="2:12" s="215" customFormat="1" ht="15.6">
      <c r="B475" s="289"/>
      <c r="C475" s="278"/>
      <c r="D475" s="279"/>
      <c r="E475" s="279"/>
      <c r="F475" s="279"/>
      <c r="G475" s="279"/>
      <c r="H475" s="279"/>
      <c r="I475" s="281"/>
      <c r="J475" s="275" t="s">
        <v>2484</v>
      </c>
      <c r="K475" s="276">
        <f>MEDIAN(K470:K472)</f>
        <v>94.99</v>
      </c>
    </row>
    <row r="476" spans="2:12" s="215" customFormat="1">
      <c r="B476" s="329"/>
      <c r="C476" s="330"/>
      <c r="D476" s="331"/>
      <c r="E476" s="332"/>
      <c r="F476" s="332"/>
      <c r="G476" s="333"/>
      <c r="H476" s="334"/>
      <c r="I476" s="335"/>
      <c r="J476" s="336"/>
      <c r="K476" s="332"/>
    </row>
    <row r="477" spans="2:12" s="215" customFormat="1" ht="15.6">
      <c r="B477" s="6" t="s">
        <v>3707</v>
      </c>
      <c r="C477" s="282" t="s">
        <v>3962</v>
      </c>
      <c r="D477" s="284"/>
      <c r="E477" s="284"/>
      <c r="F477" s="284"/>
      <c r="G477" s="284"/>
      <c r="H477" s="285"/>
      <c r="I477" s="286"/>
      <c r="J477" s="271"/>
      <c r="K477" s="271">
        <f>SMALL(K482:K483,1)</f>
        <v>5800</v>
      </c>
    </row>
    <row r="478" spans="2:12" s="215" customFormat="1" ht="15.6">
      <c r="B478" s="272" t="s">
        <v>2490</v>
      </c>
      <c r="C478" s="323" t="s">
        <v>3708</v>
      </c>
      <c r="D478" s="10" t="s">
        <v>3709</v>
      </c>
      <c r="E478" s="7" t="s">
        <v>2848</v>
      </c>
      <c r="F478" s="8" t="s">
        <v>2562</v>
      </c>
      <c r="G478" s="7" t="s">
        <v>3443</v>
      </c>
      <c r="H478" s="274">
        <v>45049</v>
      </c>
      <c r="I478" s="295">
        <v>1</v>
      </c>
      <c r="J478" s="276">
        <v>6800</v>
      </c>
      <c r="K478" s="276">
        <f>J478/I478</f>
        <v>6800</v>
      </c>
      <c r="L478" s="216"/>
    </row>
    <row r="479" spans="2:12" s="215" customFormat="1" ht="15.6">
      <c r="B479" s="272" t="s">
        <v>2491</v>
      </c>
      <c r="C479" s="323" t="s">
        <v>3710</v>
      </c>
      <c r="D479" s="10" t="s">
        <v>3711</v>
      </c>
      <c r="E479" s="7" t="s">
        <v>3712</v>
      </c>
      <c r="F479" s="8" t="s">
        <v>2562</v>
      </c>
      <c r="G479" s="7" t="s">
        <v>3443</v>
      </c>
      <c r="H479" s="274">
        <v>45044</v>
      </c>
      <c r="I479" s="295">
        <v>1</v>
      </c>
      <c r="J479" s="276">
        <v>5600</v>
      </c>
      <c r="K479" s="276">
        <f>J479/I479</f>
        <v>5600</v>
      </c>
      <c r="L479" s="216"/>
    </row>
    <row r="480" spans="2:12" s="215" customFormat="1" ht="15.6">
      <c r="B480" s="272" t="s">
        <v>2494</v>
      </c>
      <c r="C480" s="6" t="s">
        <v>3713</v>
      </c>
      <c r="D480" s="7" t="s">
        <v>2850</v>
      </c>
      <c r="E480" s="288" t="s">
        <v>2851</v>
      </c>
      <c r="F480" s="8" t="s">
        <v>2562</v>
      </c>
      <c r="G480" s="294" t="s">
        <v>3443</v>
      </c>
      <c r="H480" s="274">
        <v>45076</v>
      </c>
      <c r="I480" s="275">
        <v>1</v>
      </c>
      <c r="J480" s="276">
        <v>5800</v>
      </c>
      <c r="K480" s="276">
        <f>J480/I480</f>
        <v>5800</v>
      </c>
      <c r="L480" s="216"/>
    </row>
    <row r="481" spans="2:12" s="215" customFormat="1" ht="15.6">
      <c r="B481" s="289"/>
      <c r="C481" s="278"/>
      <c r="D481" s="279"/>
      <c r="E481" s="279"/>
      <c r="F481" s="279"/>
      <c r="G481" s="279"/>
      <c r="H481" s="279"/>
      <c r="I481" s="281"/>
      <c r="J481" s="281"/>
      <c r="K481" s="281"/>
      <c r="L481" s="216"/>
    </row>
    <row r="482" spans="2:12" s="215" customFormat="1" ht="15.6">
      <c r="B482" s="289"/>
      <c r="C482" s="278"/>
      <c r="D482" s="279"/>
      <c r="E482" s="279"/>
      <c r="F482" s="279"/>
      <c r="G482" s="279"/>
      <c r="H482" s="279"/>
      <c r="I482" s="281"/>
      <c r="J482" s="275" t="s">
        <v>2483</v>
      </c>
      <c r="K482" s="276">
        <f>AVERAGE(K478:K480)</f>
        <v>6066.666666666667</v>
      </c>
    </row>
    <row r="483" spans="2:12" s="215" customFormat="1" ht="15.6">
      <c r="B483" s="289"/>
      <c r="C483" s="278"/>
      <c r="D483" s="279"/>
      <c r="E483" s="279"/>
      <c r="F483" s="279"/>
      <c r="G483" s="279"/>
      <c r="H483" s="279"/>
      <c r="I483" s="281"/>
      <c r="J483" s="275" t="s">
        <v>2484</v>
      </c>
      <c r="K483" s="276">
        <f>MEDIAN(K478:K480)</f>
        <v>5800</v>
      </c>
    </row>
    <row r="484" spans="2:12" s="215" customFormat="1" ht="15.6">
      <c r="B484" s="289"/>
      <c r="C484" s="278"/>
      <c r="D484" s="279"/>
      <c r="E484" s="279"/>
      <c r="F484" s="279"/>
      <c r="G484" s="279"/>
      <c r="H484" s="279"/>
      <c r="I484" s="281"/>
      <c r="J484" s="292"/>
      <c r="K484" s="9"/>
    </row>
    <row r="485" spans="2:12" s="215" customFormat="1" ht="15.6">
      <c r="B485" s="6" t="s">
        <v>3991</v>
      </c>
      <c r="C485" s="282" t="s">
        <v>3992</v>
      </c>
      <c r="D485" s="284"/>
      <c r="E485" s="284"/>
      <c r="F485" s="284"/>
      <c r="G485" s="284"/>
      <c r="H485" s="285"/>
      <c r="I485" s="286"/>
      <c r="J485" s="271"/>
      <c r="K485" s="271">
        <f>SMALL(K490:K491,1)</f>
        <v>19.989999999999998</v>
      </c>
    </row>
    <row r="486" spans="2:12" s="215" customFormat="1" ht="15.6">
      <c r="B486" s="272" t="s">
        <v>2490</v>
      </c>
      <c r="C486" s="296" t="s">
        <v>2803</v>
      </c>
      <c r="D486" s="10" t="s">
        <v>2804</v>
      </c>
      <c r="E486" s="10" t="s">
        <v>2805</v>
      </c>
      <c r="F486" s="8" t="s">
        <v>2562</v>
      </c>
      <c r="G486" s="7" t="s">
        <v>3443</v>
      </c>
      <c r="H486" s="274">
        <v>45111</v>
      </c>
      <c r="I486" s="295">
        <v>1</v>
      </c>
      <c r="J486" s="276">
        <v>21.99</v>
      </c>
      <c r="K486" s="276">
        <f>J486/I486</f>
        <v>21.99</v>
      </c>
      <c r="L486" s="216"/>
    </row>
    <row r="487" spans="2:12" s="215" customFormat="1" ht="15.6">
      <c r="B487" s="272" t="s">
        <v>2491</v>
      </c>
      <c r="C487" s="6" t="s">
        <v>2602</v>
      </c>
      <c r="D487" s="7" t="s">
        <v>2603</v>
      </c>
      <c r="E487" s="288" t="s">
        <v>2604</v>
      </c>
      <c r="F487" s="8" t="s">
        <v>2562</v>
      </c>
      <c r="G487" s="7">
        <v>1567492533</v>
      </c>
      <c r="H487" s="274">
        <v>45111</v>
      </c>
      <c r="I487" s="295">
        <v>1</v>
      </c>
      <c r="J487" s="276">
        <v>19.989999999999998</v>
      </c>
      <c r="K487" s="276">
        <f>J487/I487</f>
        <v>19.989999999999998</v>
      </c>
      <c r="L487" s="216"/>
    </row>
    <row r="488" spans="2:12" s="215" customFormat="1" ht="15.6">
      <c r="B488" s="272" t="s">
        <v>2494</v>
      </c>
      <c r="C488" s="323" t="s">
        <v>3476</v>
      </c>
      <c r="D488" s="10" t="s">
        <v>3477</v>
      </c>
      <c r="E488" s="328" t="s">
        <v>3478</v>
      </c>
      <c r="F488" s="8" t="s">
        <v>2562</v>
      </c>
      <c r="G488" s="294" t="s">
        <v>3443</v>
      </c>
      <c r="H488" s="274">
        <v>45111</v>
      </c>
      <c r="I488" s="275">
        <v>1</v>
      </c>
      <c r="J488" s="276">
        <v>19.52</v>
      </c>
      <c r="K488" s="276">
        <f>J488/I488</f>
        <v>19.52</v>
      </c>
      <c r="L488" s="216"/>
    </row>
    <row r="489" spans="2:12" s="215" customFormat="1" ht="15.6">
      <c r="B489" s="289"/>
      <c r="C489" s="278"/>
      <c r="D489" s="279"/>
      <c r="E489" s="279"/>
      <c r="F489" s="279"/>
      <c r="G489" s="279"/>
      <c r="H489" s="279"/>
      <c r="I489" s="281"/>
      <c r="J489" s="281"/>
      <c r="K489" s="281"/>
      <c r="L489" s="216"/>
    </row>
    <row r="490" spans="2:12" s="215" customFormat="1" ht="15.6">
      <c r="B490" s="289"/>
      <c r="C490" s="278"/>
      <c r="D490" s="279"/>
      <c r="E490" s="279"/>
      <c r="F490" s="279"/>
      <c r="G490" s="279"/>
      <c r="H490" s="279"/>
      <c r="I490" s="281"/>
      <c r="J490" s="275" t="s">
        <v>2483</v>
      </c>
      <c r="K490" s="276">
        <f>AVERAGE(K486:K488)</f>
        <v>20.5</v>
      </c>
    </row>
    <row r="491" spans="2:12" s="215" customFormat="1" ht="15.6">
      <c r="B491" s="289"/>
      <c r="C491" s="278"/>
      <c r="D491" s="279"/>
      <c r="E491" s="279"/>
      <c r="F491" s="279"/>
      <c r="G491" s="279"/>
      <c r="H491" s="279"/>
      <c r="I491" s="281"/>
      <c r="J491" s="275" t="s">
        <v>2484</v>
      </c>
      <c r="K491" s="276">
        <f>MEDIAN(K486:K488)</f>
        <v>19.989999999999998</v>
      </c>
    </row>
    <row r="492" spans="2:12" s="215" customFormat="1" ht="15.6">
      <c r="B492" s="289"/>
      <c r="C492" s="278"/>
      <c r="D492" s="279"/>
      <c r="E492" s="279"/>
      <c r="F492" s="279"/>
      <c r="G492" s="279"/>
      <c r="H492" s="279"/>
      <c r="I492" s="281"/>
      <c r="J492" s="292"/>
      <c r="K492" s="9"/>
    </row>
    <row r="493" spans="2:12" ht="15.6">
      <c r="B493" s="6" t="s">
        <v>3993</v>
      </c>
      <c r="C493" s="282" t="s">
        <v>3994</v>
      </c>
      <c r="D493" s="284"/>
      <c r="E493" s="284"/>
      <c r="F493" s="284"/>
      <c r="G493" s="284"/>
      <c r="H493" s="285"/>
      <c r="I493" s="286"/>
      <c r="J493" s="271"/>
      <c r="K493" s="271">
        <f>SMALL(K498:K499,1)</f>
        <v>35.419947506561677</v>
      </c>
    </row>
    <row r="494" spans="2:12" ht="15.6">
      <c r="B494" s="272" t="s">
        <v>2490</v>
      </c>
      <c r="C494" s="327" t="s">
        <v>2575</v>
      </c>
      <c r="D494" s="7" t="s">
        <v>2492</v>
      </c>
      <c r="E494" s="7" t="s">
        <v>2493</v>
      </c>
      <c r="F494" s="8" t="s">
        <v>2616</v>
      </c>
      <c r="G494" s="326" t="s">
        <v>3995</v>
      </c>
      <c r="H494" s="274">
        <v>45111</v>
      </c>
      <c r="I494" s="295">
        <v>1</v>
      </c>
      <c r="J494" s="276">
        <v>33.79</v>
      </c>
      <c r="K494" s="276">
        <f>J494/I494</f>
        <v>33.79</v>
      </c>
      <c r="L494" s="216"/>
    </row>
    <row r="495" spans="2:12" ht="15.6">
      <c r="B495" s="272" t="s">
        <v>2491</v>
      </c>
      <c r="C495" s="296" t="s">
        <v>3996</v>
      </c>
      <c r="D495" s="10" t="s">
        <v>3997</v>
      </c>
      <c r="E495" s="10" t="s">
        <v>3998</v>
      </c>
      <c r="F495" s="8" t="s">
        <v>2616</v>
      </c>
      <c r="G495" s="7" t="s">
        <v>3443</v>
      </c>
      <c r="H495" s="274">
        <v>45111</v>
      </c>
      <c r="I495" s="295">
        <f>1.52*1</f>
        <v>1.52</v>
      </c>
      <c r="J495" s="276">
        <v>60</v>
      </c>
      <c r="K495" s="276">
        <f>J495/I495</f>
        <v>39.473684210526315</v>
      </c>
      <c r="L495" s="216"/>
    </row>
    <row r="496" spans="2:12" ht="15.6">
      <c r="B496" s="272" t="s">
        <v>2494</v>
      </c>
      <c r="C496" s="296" t="s">
        <v>2803</v>
      </c>
      <c r="D496" s="10" t="s">
        <v>2804</v>
      </c>
      <c r="E496" s="10" t="s">
        <v>2805</v>
      </c>
      <c r="F496" s="8" t="s">
        <v>2616</v>
      </c>
      <c r="G496" s="7" t="s">
        <v>3443</v>
      </c>
      <c r="H496" s="274">
        <v>45072</v>
      </c>
      <c r="I496" s="275">
        <f>1.27*0.6</f>
        <v>0.76200000000000001</v>
      </c>
      <c r="J496" s="276">
        <v>26.99</v>
      </c>
      <c r="K496" s="276">
        <f>J496/I496</f>
        <v>35.419947506561677</v>
      </c>
      <c r="L496" s="216"/>
    </row>
    <row r="497" spans="2:12" ht="15.6">
      <c r="B497" s="289"/>
      <c r="C497" s="278"/>
      <c r="D497" s="279"/>
      <c r="E497" s="279"/>
      <c r="F497" s="279"/>
      <c r="G497" s="279"/>
      <c r="H497" s="279"/>
      <c r="I497" s="281"/>
      <c r="J497" s="281"/>
      <c r="K497" s="281"/>
      <c r="L497" s="216"/>
    </row>
    <row r="498" spans="2:12" ht="15.6">
      <c r="B498" s="289"/>
      <c r="C498" s="278"/>
      <c r="D498" s="279"/>
      <c r="E498" s="279"/>
      <c r="F498" s="279"/>
      <c r="G498" s="279"/>
      <c r="H498" s="279"/>
      <c r="I498" s="281"/>
      <c r="J498" s="275" t="s">
        <v>2483</v>
      </c>
      <c r="K498" s="276">
        <f>AVERAGE(K494:K496)</f>
        <v>36.227877239029333</v>
      </c>
    </row>
    <row r="499" spans="2:12" ht="15.6">
      <c r="B499" s="289"/>
      <c r="C499" s="278"/>
      <c r="D499" s="279"/>
      <c r="E499" s="279"/>
      <c r="F499" s="279"/>
      <c r="G499" s="279"/>
      <c r="H499" s="279"/>
      <c r="I499" s="281"/>
      <c r="J499" s="275" t="s">
        <v>2484</v>
      </c>
      <c r="K499" s="276">
        <f>MEDIAN(K494:K496)</f>
        <v>35.419947506561677</v>
      </c>
    </row>
    <row r="500" spans="2:12" ht="15.6">
      <c r="B500" s="289"/>
      <c r="C500" s="278"/>
      <c r="D500" s="279"/>
      <c r="E500" s="279"/>
      <c r="F500" s="279"/>
      <c r="G500" s="279"/>
      <c r="H500" s="279"/>
      <c r="I500" s="281"/>
      <c r="J500" s="302"/>
      <c r="K500" s="303"/>
    </row>
    <row r="501" spans="2:12" ht="15" customHeight="1">
      <c r="B501" s="6" t="s">
        <v>4486</v>
      </c>
      <c r="C501" s="282" t="s">
        <v>3307</v>
      </c>
      <c r="D501" s="284"/>
      <c r="E501" s="284"/>
      <c r="F501" s="284"/>
      <c r="G501" s="284"/>
      <c r="H501" s="285"/>
      <c r="I501" s="286"/>
      <c r="J501" s="271"/>
      <c r="K501" s="271">
        <f>SMALL(K506:K507,1)</f>
        <v>128.33333333333334</v>
      </c>
    </row>
    <row r="502" spans="2:12">
      <c r="B502" s="469" t="s">
        <v>2490</v>
      </c>
      <c r="C502" s="470" t="s">
        <v>4480</v>
      </c>
      <c r="D502" s="471" t="s">
        <v>4481</v>
      </c>
      <c r="E502" s="471" t="s">
        <v>4482</v>
      </c>
      <c r="F502" s="472" t="s">
        <v>3056</v>
      </c>
      <c r="G502" s="136" t="s">
        <v>3443</v>
      </c>
      <c r="H502" s="473">
        <v>45005</v>
      </c>
      <c r="I502" s="474">
        <v>1</v>
      </c>
      <c r="J502" s="475">
        <v>110</v>
      </c>
      <c r="K502" s="475">
        <f>J502/I502</f>
        <v>110</v>
      </c>
      <c r="L502" s="216"/>
    </row>
    <row r="503" spans="2:12">
      <c r="B503" s="476" t="s">
        <v>2491</v>
      </c>
      <c r="C503" s="470" t="s">
        <v>3708</v>
      </c>
      <c r="D503" s="136" t="s">
        <v>2847</v>
      </c>
      <c r="E503" s="477" t="s">
        <v>2848</v>
      </c>
      <c r="F503" s="472" t="s">
        <v>3056</v>
      </c>
      <c r="G503" s="478" t="s">
        <v>3443</v>
      </c>
      <c r="H503" s="473">
        <v>44998</v>
      </c>
      <c r="I503" s="474">
        <v>2</v>
      </c>
      <c r="J503" s="475">
        <v>280</v>
      </c>
      <c r="K503" s="475">
        <f>J503/I503</f>
        <v>140</v>
      </c>
      <c r="L503" s="216"/>
    </row>
    <row r="504" spans="2:12">
      <c r="B504" s="476" t="s">
        <v>2494</v>
      </c>
      <c r="C504" s="479" t="s">
        <v>4483</v>
      </c>
      <c r="D504" s="136" t="s">
        <v>4484</v>
      </c>
      <c r="E504" s="471" t="s">
        <v>4485</v>
      </c>
      <c r="F504" s="472" t="s">
        <v>3056</v>
      </c>
      <c r="G504" s="136" t="s">
        <v>3443</v>
      </c>
      <c r="H504" s="473">
        <v>44998</v>
      </c>
      <c r="I504" s="474">
        <v>1</v>
      </c>
      <c r="J504" s="475">
        <v>135</v>
      </c>
      <c r="K504" s="475">
        <f>J504/I504</f>
        <v>135</v>
      </c>
      <c r="L504" s="216"/>
    </row>
    <row r="505" spans="2:12">
      <c r="B505" s="480"/>
      <c r="C505" s="481"/>
      <c r="D505" s="482"/>
      <c r="E505" s="482"/>
      <c r="F505" s="482"/>
      <c r="G505" s="482"/>
      <c r="H505" s="482"/>
      <c r="I505" s="483"/>
      <c r="J505" s="483"/>
      <c r="K505" s="483"/>
      <c r="L505" s="216"/>
    </row>
    <row r="506" spans="2:12">
      <c r="B506" s="480"/>
      <c r="C506" s="481"/>
      <c r="D506" s="482"/>
      <c r="E506" s="482"/>
      <c r="F506" s="482"/>
      <c r="G506" s="482"/>
      <c r="H506" s="482"/>
      <c r="I506" s="483"/>
      <c r="J506" s="474" t="s">
        <v>2483</v>
      </c>
      <c r="K506" s="475">
        <f>AVERAGE(K502:K504)</f>
        <v>128.33333333333334</v>
      </c>
    </row>
    <row r="507" spans="2:12">
      <c r="B507" s="480"/>
      <c r="C507" s="481"/>
      <c r="D507" s="482"/>
      <c r="E507" s="482"/>
      <c r="F507" s="482"/>
      <c r="G507" s="482"/>
      <c r="H507" s="482"/>
      <c r="I507" s="483"/>
      <c r="J507" s="474" t="s">
        <v>2484</v>
      </c>
      <c r="K507" s="475">
        <f>MEDIAN(K502:K504)</f>
        <v>135</v>
      </c>
    </row>
  </sheetData>
  <mergeCells count="42">
    <mergeCell ref="B296:H296"/>
    <mergeCell ref="B304:H304"/>
    <mergeCell ref="B312:H312"/>
    <mergeCell ref="B417:H417"/>
    <mergeCell ref="B320:H320"/>
    <mergeCell ref="B328:H328"/>
    <mergeCell ref="B336:H336"/>
    <mergeCell ref="B352:H352"/>
    <mergeCell ref="B384:H384"/>
    <mergeCell ref="B392:H392"/>
    <mergeCell ref="B401:H401"/>
    <mergeCell ref="B409:H409"/>
    <mergeCell ref="B288:H288"/>
    <mergeCell ref="G7:G8"/>
    <mergeCell ref="H7:H8"/>
    <mergeCell ref="I7:I8"/>
    <mergeCell ref="J7:J8"/>
    <mergeCell ref="C73:J73"/>
    <mergeCell ref="B7:B8"/>
    <mergeCell ref="C7:C8"/>
    <mergeCell ref="D7:D8"/>
    <mergeCell ref="E7:E8"/>
    <mergeCell ref="F7:F8"/>
    <mergeCell ref="B256:H256"/>
    <mergeCell ref="B264:H264"/>
    <mergeCell ref="B272:H272"/>
    <mergeCell ref="B280:H280"/>
    <mergeCell ref="C81:J81"/>
    <mergeCell ref="B134:H134"/>
    <mergeCell ref="B135:H135"/>
    <mergeCell ref="B142:H142"/>
    <mergeCell ref="A1:K1"/>
    <mergeCell ref="K7:K8"/>
    <mergeCell ref="C194:J194"/>
    <mergeCell ref="C9:J9"/>
    <mergeCell ref="C25:J25"/>
    <mergeCell ref="C33:J33"/>
    <mergeCell ref="C41:J41"/>
    <mergeCell ref="C49:J49"/>
    <mergeCell ref="C57:J57"/>
    <mergeCell ref="C65:J65"/>
    <mergeCell ref="B150:H150"/>
  </mergeCells>
  <phoneticPr fontId="27" type="noConversion"/>
  <hyperlinks>
    <hyperlink ref="E447" r:id="rId1" xr:uid="{00000000-0004-0000-0200-000000000000}"/>
    <hyperlink ref="E373" r:id="rId2" xr:uid="{00000000-0004-0000-0200-000001000000}"/>
    <hyperlink ref="E383" r:id="rId3" xr:uid="{00000000-0004-0000-0200-000002000000}"/>
    <hyperlink ref="E470" r:id="rId4" xr:uid="{00000000-0004-0000-0200-000004000000}"/>
    <hyperlink ref="E488" r:id="rId5" xr:uid="{83E7A340-0C3D-4444-AC57-2BCFE9F3B187}"/>
  </hyperlinks>
  <printOptions horizontalCentered="1"/>
  <pageMargins left="0.47244094488188998" right="7.8740157480315001E-2" top="0.86614173228346403" bottom="0.86614173228346403" header="0.31496062992126" footer="0.31496062992126"/>
  <pageSetup paperSize="9" scale="55" fitToHeight="0" orientation="landscape" r:id="rId6"/>
  <headerFooter alignWithMargins="0">
    <oddHeader>&amp;C&amp;G</oddHeader>
    <oddFooter>&amp;L&amp;G&amp;CPágina &amp;P de &amp;N&amp;R_______________________________________
Lorena Araújo Silva
Eng. Civil CREA 1015611540D -GO</oddFooter>
  </headerFooter>
  <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F832-865F-4E15-B7C8-902F1BFE31D0}">
  <sheetPr>
    <pageSetUpPr fitToPage="1"/>
  </sheetPr>
  <dimension ref="A1:I590"/>
  <sheetViews>
    <sheetView zoomScale="80" zoomScaleNormal="80" workbookViewId="0">
      <selection activeCell="A582" sqref="A1:H582"/>
    </sheetView>
  </sheetViews>
  <sheetFormatPr defaultRowHeight="14.4"/>
  <cols>
    <col min="1" max="1" width="13.109375" style="1" customWidth="1"/>
    <col min="2" max="2" width="13.33203125" style="1" bestFit="1" customWidth="1"/>
    <col min="3" max="3" width="12.6640625" style="1" customWidth="1"/>
    <col min="4" max="4" width="66.6640625" style="1" bestFit="1" customWidth="1"/>
    <col min="5" max="5" width="8" style="1" customWidth="1"/>
    <col min="6" max="6" width="10.5546875" style="436" bestFit="1" customWidth="1"/>
    <col min="7" max="7" width="13.6640625" style="436" customWidth="1"/>
    <col min="8" max="8" width="10" style="436" customWidth="1"/>
    <col min="9" max="9" width="15.5546875" style="1" bestFit="1" customWidth="1"/>
    <col min="10" max="16384" width="8.88671875" style="1"/>
  </cols>
  <sheetData>
    <row r="1" spans="1:8" ht="16.2" thickBot="1">
      <c r="A1" s="566" t="s">
        <v>4377</v>
      </c>
      <c r="B1" s="567"/>
      <c r="C1" s="567"/>
      <c r="D1" s="567"/>
      <c r="E1" s="567"/>
      <c r="F1" s="567"/>
      <c r="G1" s="567"/>
      <c r="H1" s="568"/>
    </row>
    <row r="2" spans="1:8" ht="16.2" thickBot="1">
      <c r="A2" s="407"/>
      <c r="B2" s="407"/>
      <c r="C2" s="407"/>
      <c r="D2" s="408"/>
      <c r="E2" s="407"/>
      <c r="F2" s="409"/>
      <c r="G2" s="407"/>
      <c r="H2" s="407"/>
    </row>
    <row r="3" spans="1:8" ht="25.8" customHeight="1">
      <c r="A3" s="410" t="s">
        <v>1</v>
      </c>
      <c r="B3" s="569" t="s">
        <v>3976</v>
      </c>
      <c r="C3" s="569"/>
      <c r="D3" s="569"/>
      <c r="E3" s="569"/>
      <c r="F3" s="569"/>
      <c r="G3" s="569"/>
      <c r="H3" s="570"/>
    </row>
    <row r="4" spans="1:8">
      <c r="A4" s="411" t="s">
        <v>2</v>
      </c>
      <c r="B4" s="571" t="s">
        <v>4378</v>
      </c>
      <c r="C4" s="571"/>
      <c r="D4" s="571"/>
      <c r="E4" s="571"/>
      <c r="F4" s="571"/>
      <c r="G4" s="571"/>
      <c r="H4" s="572"/>
    </row>
    <row r="5" spans="1:8" ht="15" thickBot="1">
      <c r="A5" s="412" t="s">
        <v>3</v>
      </c>
      <c r="B5" s="573">
        <v>45119</v>
      </c>
      <c r="C5" s="573"/>
      <c r="D5" s="573"/>
      <c r="E5" s="573"/>
      <c r="F5" s="573"/>
      <c r="G5" s="573"/>
      <c r="H5" s="574"/>
    </row>
    <row r="6" spans="1:8">
      <c r="A6" s="413"/>
      <c r="B6" s="414"/>
      <c r="C6" s="414"/>
      <c r="D6" s="415"/>
      <c r="E6" s="414"/>
      <c r="F6" s="416"/>
      <c r="G6" s="414"/>
      <c r="H6" s="414"/>
    </row>
    <row r="7" spans="1:8">
      <c r="A7" s="417" t="s">
        <v>4090</v>
      </c>
      <c r="B7" s="418"/>
      <c r="C7" s="418"/>
      <c r="D7" s="415"/>
      <c r="E7" s="414"/>
      <c r="F7" s="416"/>
      <c r="G7" s="414"/>
      <c r="H7" s="414"/>
    </row>
    <row r="8" spans="1:8" ht="15.6">
      <c r="A8" s="419" t="s">
        <v>4379</v>
      </c>
      <c r="B8" s="420"/>
      <c r="C8" s="421"/>
      <c r="D8" s="415"/>
      <c r="E8" s="414"/>
      <c r="F8" s="416"/>
      <c r="G8" s="414"/>
      <c r="H8" s="414"/>
    </row>
    <row r="9" spans="1:8" ht="15">
      <c r="A9" s="419" t="s">
        <v>4380</v>
      </c>
      <c r="B9" s="422"/>
      <c r="C9" s="421"/>
      <c r="D9" s="415"/>
      <c r="E9" s="414"/>
      <c r="F9" s="558"/>
      <c r="G9" s="558"/>
      <c r="H9" s="424"/>
    </row>
    <row r="10" spans="1:8" ht="15">
      <c r="A10" s="419"/>
      <c r="B10" s="422"/>
      <c r="C10" s="421"/>
      <c r="D10" s="415"/>
      <c r="E10" s="414"/>
      <c r="F10" s="425"/>
      <c r="G10" s="423"/>
      <c r="H10" s="424"/>
    </row>
    <row r="11" spans="1:8" ht="15">
      <c r="A11" s="419" t="s">
        <v>4494</v>
      </c>
      <c r="B11" s="422"/>
      <c r="C11" s="421"/>
      <c r="D11" s="415"/>
      <c r="E11" s="414"/>
      <c r="F11" s="425"/>
      <c r="G11" s="423"/>
      <c r="H11" s="424"/>
    </row>
    <row r="12" spans="1:8" ht="15">
      <c r="A12" s="419" t="s">
        <v>4380</v>
      </c>
      <c r="B12" s="422"/>
      <c r="C12" s="421"/>
      <c r="D12" s="415"/>
      <c r="E12" s="414"/>
      <c r="F12" s="425"/>
      <c r="G12" s="423"/>
      <c r="H12" s="424"/>
    </row>
    <row r="13" spans="1:8" ht="15.6">
      <c r="A13" s="426"/>
      <c r="B13" s="427"/>
      <c r="C13" s="421"/>
      <c r="D13" s="415"/>
      <c r="E13" s="414"/>
      <c r="F13" s="558"/>
      <c r="G13" s="558"/>
      <c r="H13" s="428"/>
    </row>
    <row r="14" spans="1:8">
      <c r="A14" s="417" t="s">
        <v>4094</v>
      </c>
      <c r="B14" s="418"/>
      <c r="C14" s="418"/>
      <c r="D14" s="415"/>
      <c r="E14" s="414"/>
      <c r="F14" s="558"/>
      <c r="G14" s="558"/>
      <c r="H14" s="428"/>
    </row>
    <row r="15" spans="1:8" ht="15">
      <c r="A15" s="419" t="s">
        <v>4381</v>
      </c>
      <c r="B15" s="427"/>
      <c r="C15" s="421"/>
      <c r="D15" s="415"/>
      <c r="E15" s="414"/>
      <c r="F15" s="416"/>
      <c r="G15" s="414"/>
      <c r="H15" s="414"/>
    </row>
    <row r="16" spans="1:8" ht="15">
      <c r="A16" s="419" t="s">
        <v>4382</v>
      </c>
      <c r="B16" s="427"/>
      <c r="C16" s="421"/>
      <c r="D16" s="429"/>
      <c r="E16" s="559"/>
      <c r="F16" s="559"/>
      <c r="G16" s="559"/>
      <c r="H16" s="559"/>
    </row>
    <row r="17" spans="1:8" hidden="1"/>
    <row r="18" spans="1:8" hidden="1"/>
    <row r="19" spans="1:8" ht="27" customHeight="1">
      <c r="A19" s="577"/>
      <c r="B19" s="577"/>
      <c r="C19" s="577"/>
      <c r="D19" s="577"/>
      <c r="E19" s="577"/>
      <c r="F19" s="577"/>
      <c r="G19" s="577"/>
      <c r="H19" s="577"/>
    </row>
    <row r="20" spans="1:8" ht="18" customHeight="1">
      <c r="A20" s="430" t="s">
        <v>4136</v>
      </c>
      <c r="B20" s="430" t="s">
        <v>4137</v>
      </c>
      <c r="C20" s="430" t="s">
        <v>4138</v>
      </c>
      <c r="D20" s="431" t="s">
        <v>4139</v>
      </c>
      <c r="E20" s="430" t="s">
        <v>2723</v>
      </c>
      <c r="F20" s="430" t="s">
        <v>4140</v>
      </c>
      <c r="G20" s="430" t="s">
        <v>4141</v>
      </c>
      <c r="H20" s="430" t="s">
        <v>4142</v>
      </c>
    </row>
    <row r="21" spans="1:8" ht="21.6" customHeight="1">
      <c r="A21" s="451" t="s">
        <v>4143</v>
      </c>
      <c r="B21" s="451" t="s">
        <v>4383</v>
      </c>
      <c r="C21" s="451" t="s">
        <v>4144</v>
      </c>
      <c r="D21" s="452" t="s">
        <v>2817</v>
      </c>
      <c r="E21" s="451" t="s">
        <v>3040</v>
      </c>
      <c r="F21" s="453">
        <v>1</v>
      </c>
      <c r="G21" s="454">
        <v>17.23</v>
      </c>
      <c r="H21" s="454">
        <f>ROUND((SUM(H22:H23)),2)</f>
        <v>17.23</v>
      </c>
    </row>
    <row r="22" spans="1:8">
      <c r="A22" s="432" t="s">
        <v>4145</v>
      </c>
      <c r="B22" s="432" t="s">
        <v>4146</v>
      </c>
      <c r="C22" s="432" t="s">
        <v>4475</v>
      </c>
      <c r="D22" s="433" t="s">
        <v>4147</v>
      </c>
      <c r="E22" s="432" t="s">
        <v>2708</v>
      </c>
      <c r="F22" s="437">
        <v>0.128</v>
      </c>
      <c r="G22" s="438">
        <v>19.27</v>
      </c>
      <c r="H22" s="438">
        <f>ROUND((F22*G22),2)</f>
        <v>2.4700000000000002</v>
      </c>
    </row>
    <row r="23" spans="1:8">
      <c r="A23" s="432" t="s">
        <v>4145</v>
      </c>
      <c r="B23" s="432" t="s">
        <v>4148</v>
      </c>
      <c r="C23" s="432" t="s">
        <v>4475</v>
      </c>
      <c r="D23" s="433" t="s">
        <v>4149</v>
      </c>
      <c r="E23" s="432" t="s">
        <v>2708</v>
      </c>
      <c r="F23" s="437">
        <v>1.28</v>
      </c>
      <c r="G23" s="438">
        <v>11.53</v>
      </c>
      <c r="H23" s="438">
        <f>ROUND((F23*G23),2)</f>
        <v>14.76</v>
      </c>
    </row>
    <row r="24" spans="1:8" ht="14.4" customHeight="1">
      <c r="A24" s="560" t="s">
        <v>4474</v>
      </c>
      <c r="B24" s="560"/>
      <c r="C24" s="560"/>
      <c r="D24" s="560"/>
      <c r="E24" s="560"/>
      <c r="F24" s="560"/>
      <c r="G24" s="560"/>
      <c r="H24" s="455">
        <f>H21*1.2592</f>
        <v>21.696016000000004</v>
      </c>
    </row>
    <row r="25" spans="1:8">
      <c r="A25" s="576" t="s">
        <v>4150</v>
      </c>
      <c r="B25" s="576"/>
      <c r="C25" s="576"/>
      <c r="D25" s="576"/>
      <c r="E25" s="576"/>
      <c r="F25" s="576"/>
      <c r="G25" s="576"/>
      <c r="H25" s="576"/>
    </row>
    <row r="26" spans="1:8" ht="15" thickBot="1">
      <c r="A26" s="575" t="s">
        <v>4151</v>
      </c>
      <c r="B26" s="575"/>
      <c r="C26" s="575"/>
      <c r="D26" s="575"/>
      <c r="E26" s="575"/>
      <c r="F26" s="575"/>
      <c r="G26" s="575"/>
      <c r="H26" s="575"/>
    </row>
    <row r="27" spans="1:8" ht="15" thickTop="1">
      <c r="A27" s="403"/>
      <c r="B27" s="403"/>
      <c r="C27" s="403"/>
      <c r="D27" s="403"/>
      <c r="E27" s="403"/>
      <c r="F27" s="439"/>
      <c r="G27" s="439"/>
      <c r="H27" s="439"/>
    </row>
    <row r="28" spans="1:8">
      <c r="A28" s="441" t="s">
        <v>4152</v>
      </c>
      <c r="B28" s="441" t="s">
        <v>4137</v>
      </c>
      <c r="C28" s="441" t="s">
        <v>4138</v>
      </c>
      <c r="D28" s="442" t="s">
        <v>4139</v>
      </c>
      <c r="E28" s="441" t="s">
        <v>2723</v>
      </c>
      <c r="F28" s="441" t="s">
        <v>4140</v>
      </c>
      <c r="G28" s="441" t="s">
        <v>4141</v>
      </c>
      <c r="H28" s="441" t="s">
        <v>4142</v>
      </c>
    </row>
    <row r="29" spans="1:8" ht="25.95" customHeight="1">
      <c r="A29" s="447" t="s">
        <v>4143</v>
      </c>
      <c r="B29" s="447" t="s">
        <v>4384</v>
      </c>
      <c r="C29" s="447" t="s">
        <v>4144</v>
      </c>
      <c r="D29" s="448" t="s">
        <v>4153</v>
      </c>
      <c r="E29" s="447" t="s">
        <v>2489</v>
      </c>
      <c r="F29" s="449">
        <v>1</v>
      </c>
      <c r="G29" s="450">
        <v>81.03</v>
      </c>
      <c r="H29" s="454">
        <f>ROUND((SUM(H30:H31)),2)</f>
        <v>81.03</v>
      </c>
    </row>
    <row r="30" spans="1:8" ht="24" customHeight="1">
      <c r="A30" s="443" t="s">
        <v>4145</v>
      </c>
      <c r="B30" s="443" t="s">
        <v>4154</v>
      </c>
      <c r="C30" s="443" t="s">
        <v>4155</v>
      </c>
      <c r="D30" s="444" t="s">
        <v>4156</v>
      </c>
      <c r="E30" s="443" t="s">
        <v>4157</v>
      </c>
      <c r="F30" s="445">
        <v>2.6335000000000002</v>
      </c>
      <c r="G30" s="446">
        <v>17.75</v>
      </c>
      <c r="H30" s="438">
        <f t="shared" ref="H30:H31" si="0">ROUND((F30*G30),2)</f>
        <v>46.74</v>
      </c>
    </row>
    <row r="31" spans="1:8" ht="24" customHeight="1">
      <c r="A31" s="443" t="s">
        <v>4145</v>
      </c>
      <c r="B31" s="443" t="s">
        <v>4158</v>
      </c>
      <c r="C31" s="443" t="s">
        <v>4475</v>
      </c>
      <c r="D31" s="444" t="s">
        <v>4159</v>
      </c>
      <c r="E31" s="443" t="s">
        <v>2708</v>
      </c>
      <c r="F31" s="445">
        <v>2.6335000000000002</v>
      </c>
      <c r="G31" s="446">
        <v>13.02</v>
      </c>
      <c r="H31" s="438">
        <f t="shared" si="0"/>
        <v>34.29</v>
      </c>
    </row>
    <row r="32" spans="1:8" ht="14.4" customHeight="1">
      <c r="A32" s="560" t="s">
        <v>4474</v>
      </c>
      <c r="B32" s="560"/>
      <c r="C32" s="560"/>
      <c r="D32" s="560"/>
      <c r="E32" s="560"/>
      <c r="F32" s="560"/>
      <c r="G32" s="560"/>
      <c r="H32" s="455">
        <f>H29*1.2592</f>
        <v>102.03297600000001</v>
      </c>
    </row>
    <row r="33" spans="1:8">
      <c r="A33" s="576" t="s">
        <v>4150</v>
      </c>
      <c r="B33" s="576"/>
      <c r="C33" s="576"/>
      <c r="D33" s="576"/>
      <c r="E33" s="576"/>
      <c r="F33" s="576"/>
      <c r="G33" s="576"/>
      <c r="H33" s="576"/>
    </row>
    <row r="34" spans="1:8" ht="15" thickBot="1">
      <c r="A34" s="575" t="s">
        <v>4160</v>
      </c>
      <c r="B34" s="575"/>
      <c r="C34" s="575"/>
      <c r="D34" s="575"/>
      <c r="E34" s="575"/>
      <c r="F34" s="575"/>
      <c r="G34" s="575"/>
      <c r="H34" s="575"/>
    </row>
    <row r="35" spans="1:8" ht="15" thickTop="1">
      <c r="A35" s="403"/>
      <c r="B35" s="403"/>
      <c r="C35" s="403"/>
      <c r="D35" s="403"/>
      <c r="E35" s="403"/>
      <c r="F35" s="439"/>
      <c r="G35" s="439"/>
      <c r="H35" s="439"/>
    </row>
    <row r="36" spans="1:8">
      <c r="A36" s="441" t="s">
        <v>4161</v>
      </c>
      <c r="B36" s="441" t="s">
        <v>4137</v>
      </c>
      <c r="C36" s="441" t="s">
        <v>4138</v>
      </c>
      <c r="D36" s="456" t="s">
        <v>4139</v>
      </c>
      <c r="E36" s="458" t="s">
        <v>2723</v>
      </c>
      <c r="F36" s="458" t="s">
        <v>4140</v>
      </c>
      <c r="G36" s="458" t="s">
        <v>4141</v>
      </c>
      <c r="H36" s="458" t="s">
        <v>4142</v>
      </c>
    </row>
    <row r="37" spans="1:8" ht="25.95" customHeight="1">
      <c r="A37" s="447" t="s">
        <v>4143</v>
      </c>
      <c r="B37" s="447" t="s">
        <v>4385</v>
      </c>
      <c r="C37" s="447" t="s">
        <v>4144</v>
      </c>
      <c r="D37" s="448" t="s">
        <v>4162</v>
      </c>
      <c r="E37" s="447" t="s">
        <v>4163</v>
      </c>
      <c r="F37" s="449">
        <v>1</v>
      </c>
      <c r="G37" s="450">
        <v>1.36</v>
      </c>
      <c r="H37" s="454">
        <f>ROUND((SUM(H38:H39)),2)</f>
        <v>1.36</v>
      </c>
    </row>
    <row r="38" spans="1:8" ht="24" customHeight="1">
      <c r="A38" s="443" t="s">
        <v>4145</v>
      </c>
      <c r="B38" s="443" t="s">
        <v>4148</v>
      </c>
      <c r="C38" s="443" t="s">
        <v>4475</v>
      </c>
      <c r="D38" s="444" t="s">
        <v>4149</v>
      </c>
      <c r="E38" s="443" t="s">
        <v>2708</v>
      </c>
      <c r="F38" s="445">
        <v>4.3999999999999997E-2</v>
      </c>
      <c r="G38" s="446">
        <v>11.53</v>
      </c>
      <c r="H38" s="460">
        <f t="shared" ref="H38:H39" si="1">ROUND((F38*G38),2)</f>
        <v>0.51</v>
      </c>
    </row>
    <row r="39" spans="1:8" ht="24" customHeight="1">
      <c r="A39" s="443" t="s">
        <v>4145</v>
      </c>
      <c r="B39" s="443" t="s">
        <v>4164</v>
      </c>
      <c r="C39" s="443" t="s">
        <v>4475</v>
      </c>
      <c r="D39" s="444" t="s">
        <v>4165</v>
      </c>
      <c r="E39" s="443" t="s">
        <v>2708</v>
      </c>
      <c r="F39" s="445">
        <v>4.3999999999999997E-2</v>
      </c>
      <c r="G39" s="446">
        <v>19.27</v>
      </c>
      <c r="H39" s="460">
        <f t="shared" si="1"/>
        <v>0.85</v>
      </c>
    </row>
    <row r="40" spans="1:8" ht="14.4" customHeight="1">
      <c r="A40" s="581" t="s">
        <v>4474</v>
      </c>
      <c r="B40" s="581"/>
      <c r="C40" s="581"/>
      <c r="D40" s="581"/>
      <c r="E40" s="581"/>
      <c r="F40" s="581"/>
      <c r="G40" s="581"/>
      <c r="H40" s="455">
        <f>H37*1.2592</f>
        <v>1.7125120000000003</v>
      </c>
    </row>
    <row r="41" spans="1:8">
      <c r="A41" s="576" t="s">
        <v>4150</v>
      </c>
      <c r="B41" s="576"/>
      <c r="C41" s="576"/>
      <c r="D41" s="576"/>
      <c r="E41" s="576"/>
      <c r="F41" s="576"/>
      <c r="G41" s="576"/>
      <c r="H41" s="576"/>
    </row>
    <row r="42" spans="1:8" ht="16.8" customHeight="1" thickBot="1">
      <c r="A42" s="575" t="s">
        <v>4166</v>
      </c>
      <c r="B42" s="575"/>
      <c r="C42" s="575"/>
      <c r="D42" s="575"/>
      <c r="E42" s="575"/>
      <c r="F42" s="575"/>
      <c r="G42" s="575"/>
      <c r="H42" s="575"/>
    </row>
    <row r="43" spans="1:8" ht="15" thickTop="1">
      <c r="A43" s="403"/>
      <c r="B43" s="403"/>
      <c r="C43" s="403"/>
      <c r="D43" s="403"/>
      <c r="E43" s="403"/>
      <c r="F43" s="439"/>
      <c r="G43" s="439"/>
      <c r="H43" s="439"/>
    </row>
    <row r="44" spans="1:8">
      <c r="A44" s="441" t="s">
        <v>4167</v>
      </c>
      <c r="B44" s="441" t="s">
        <v>4137</v>
      </c>
      <c r="C44" s="441" t="s">
        <v>4138</v>
      </c>
      <c r="D44" s="442" t="s">
        <v>4139</v>
      </c>
      <c r="E44" s="441" t="s">
        <v>2723</v>
      </c>
      <c r="F44" s="441" t="s">
        <v>4140</v>
      </c>
      <c r="G44" s="441" t="s">
        <v>4141</v>
      </c>
      <c r="H44" s="441" t="s">
        <v>4142</v>
      </c>
    </row>
    <row r="45" spans="1:8" ht="24" customHeight="1">
      <c r="A45" s="447" t="s">
        <v>4143</v>
      </c>
      <c r="B45" s="447" t="s">
        <v>4386</v>
      </c>
      <c r="C45" s="447" t="s">
        <v>4144</v>
      </c>
      <c r="D45" s="448" t="s">
        <v>4168</v>
      </c>
      <c r="E45" s="447" t="s">
        <v>2487</v>
      </c>
      <c r="F45" s="449">
        <v>1</v>
      </c>
      <c r="G45" s="450">
        <v>4.6100000000000003</v>
      </c>
      <c r="H45" s="450">
        <f>ROUND((H46),2)</f>
        <v>4.6100000000000003</v>
      </c>
    </row>
    <row r="46" spans="1:8" ht="24" customHeight="1">
      <c r="A46" s="443" t="s">
        <v>4145</v>
      </c>
      <c r="B46" s="443" t="s">
        <v>4148</v>
      </c>
      <c r="C46" s="443" t="s">
        <v>4475</v>
      </c>
      <c r="D46" s="444" t="s">
        <v>4149</v>
      </c>
      <c r="E46" s="443" t="s">
        <v>2708</v>
      </c>
      <c r="F46" s="445">
        <v>0.4</v>
      </c>
      <c r="G46" s="446">
        <v>11.53</v>
      </c>
      <c r="H46" s="460">
        <f t="shared" ref="H46" si="2">ROUND((F46*G46),2)</f>
        <v>4.6100000000000003</v>
      </c>
    </row>
    <row r="47" spans="1:8" ht="14.4" customHeight="1">
      <c r="A47" s="581" t="s">
        <v>4474</v>
      </c>
      <c r="B47" s="581"/>
      <c r="C47" s="581"/>
      <c r="D47" s="581"/>
      <c r="E47" s="581"/>
      <c r="F47" s="581"/>
      <c r="G47" s="581"/>
      <c r="H47" s="462">
        <f>ROUND((H45*1.2592),2)</f>
        <v>5.8</v>
      </c>
    </row>
    <row r="48" spans="1:8">
      <c r="A48" s="576" t="s">
        <v>4150</v>
      </c>
      <c r="B48" s="576"/>
      <c r="C48" s="576"/>
      <c r="D48" s="576"/>
      <c r="E48" s="576"/>
      <c r="F48" s="576"/>
      <c r="G48" s="576"/>
      <c r="H48" s="576"/>
    </row>
    <row r="49" spans="1:8" ht="15" thickBot="1">
      <c r="A49" s="575" t="s">
        <v>4169</v>
      </c>
      <c r="B49" s="575"/>
      <c r="C49" s="575"/>
      <c r="D49" s="575"/>
      <c r="E49" s="575"/>
      <c r="F49" s="575"/>
      <c r="G49" s="575"/>
      <c r="H49" s="575"/>
    </row>
    <row r="50" spans="1:8" ht="15" thickTop="1">
      <c r="A50" s="403"/>
      <c r="B50" s="403"/>
      <c r="C50" s="403"/>
      <c r="D50" s="403"/>
      <c r="E50" s="403"/>
      <c r="F50" s="439"/>
      <c r="G50" s="439"/>
      <c r="H50" s="439"/>
    </row>
    <row r="51" spans="1:8">
      <c r="A51" s="441" t="s">
        <v>4170</v>
      </c>
      <c r="B51" s="441" t="s">
        <v>4137</v>
      </c>
      <c r="C51" s="441" t="s">
        <v>4138</v>
      </c>
      <c r="D51" s="456" t="s">
        <v>4139</v>
      </c>
      <c r="E51" s="441" t="s">
        <v>2723</v>
      </c>
      <c r="F51" s="441" t="s">
        <v>4140</v>
      </c>
      <c r="G51" s="441" t="s">
        <v>4141</v>
      </c>
      <c r="H51" s="441" t="s">
        <v>4142</v>
      </c>
    </row>
    <row r="52" spans="1:8" ht="24" customHeight="1">
      <c r="A52" s="447" t="s">
        <v>4143</v>
      </c>
      <c r="B52" s="447" t="s">
        <v>4387</v>
      </c>
      <c r="C52" s="447" t="s">
        <v>4144</v>
      </c>
      <c r="D52" s="448" t="s">
        <v>4171</v>
      </c>
      <c r="E52" s="447" t="s">
        <v>2487</v>
      </c>
      <c r="F52" s="449">
        <v>1</v>
      </c>
      <c r="G52" s="450">
        <v>5.07</v>
      </c>
      <c r="H52" s="450">
        <f>ROUND((H53),2)</f>
        <v>5.07</v>
      </c>
    </row>
    <row r="53" spans="1:8" ht="24" customHeight="1">
      <c r="A53" s="443" t="s">
        <v>4145</v>
      </c>
      <c r="B53" s="443" t="s">
        <v>4148</v>
      </c>
      <c r="C53" s="443" t="s">
        <v>4475</v>
      </c>
      <c r="D53" s="444" t="s">
        <v>4149</v>
      </c>
      <c r="E53" s="443" t="s">
        <v>2708</v>
      </c>
      <c r="F53" s="445">
        <v>0.44</v>
      </c>
      <c r="G53" s="446">
        <v>11.53</v>
      </c>
      <c r="H53" s="460">
        <f t="shared" ref="H53" si="3">ROUND((F53*G53),2)</f>
        <v>5.07</v>
      </c>
    </row>
    <row r="54" spans="1:8" ht="14.4" customHeight="1">
      <c r="A54" s="581" t="s">
        <v>4474</v>
      </c>
      <c r="B54" s="581"/>
      <c r="C54" s="581"/>
      <c r="D54" s="581"/>
      <c r="E54" s="581"/>
      <c r="F54" s="581"/>
      <c r="G54" s="581"/>
      <c r="H54" s="462">
        <f>ROUND((H52*1.2592),2)</f>
        <v>6.38</v>
      </c>
    </row>
    <row r="55" spans="1:8" ht="15" thickBot="1">
      <c r="A55" s="576" t="s">
        <v>4150</v>
      </c>
      <c r="B55" s="576"/>
      <c r="C55" s="576"/>
      <c r="D55" s="576"/>
      <c r="E55" s="576"/>
      <c r="F55" s="576"/>
      <c r="G55" s="576"/>
      <c r="H55" s="576"/>
    </row>
    <row r="56" spans="1:8" ht="15" hidden="1" thickBot="1">
      <c r="A56" s="575" t="s">
        <v>4172</v>
      </c>
      <c r="B56" s="575"/>
      <c r="C56" s="575"/>
      <c r="D56" s="575"/>
      <c r="E56" s="575"/>
      <c r="F56" s="575"/>
      <c r="G56" s="575"/>
      <c r="H56" s="575"/>
    </row>
    <row r="57" spans="1:8" ht="15" thickTop="1">
      <c r="A57" s="403"/>
      <c r="B57" s="403"/>
      <c r="C57" s="403"/>
      <c r="D57" s="403"/>
      <c r="E57" s="403"/>
      <c r="F57" s="439"/>
      <c r="G57" s="439"/>
      <c r="H57" s="439"/>
    </row>
    <row r="58" spans="1:8">
      <c r="A58" s="463" t="s">
        <v>4173</v>
      </c>
      <c r="B58" s="463" t="s">
        <v>4137</v>
      </c>
      <c r="C58" s="463" t="s">
        <v>4138</v>
      </c>
      <c r="D58" s="464" t="s">
        <v>4139</v>
      </c>
      <c r="E58" s="463" t="s">
        <v>2723</v>
      </c>
      <c r="F58" s="463" t="s">
        <v>4140</v>
      </c>
      <c r="G58" s="463" t="s">
        <v>4141</v>
      </c>
      <c r="H58" s="463" t="s">
        <v>4142</v>
      </c>
    </row>
    <row r="59" spans="1:8" ht="24" customHeight="1">
      <c r="A59" s="451" t="s">
        <v>4143</v>
      </c>
      <c r="B59" s="451" t="s">
        <v>4388</v>
      </c>
      <c r="C59" s="451" t="s">
        <v>4144</v>
      </c>
      <c r="D59" s="452" t="s">
        <v>3147</v>
      </c>
      <c r="E59" s="451" t="s">
        <v>2489</v>
      </c>
      <c r="F59" s="453">
        <v>1</v>
      </c>
      <c r="G59" s="454">
        <v>15.47</v>
      </c>
      <c r="H59" s="454">
        <f>ROUND((SUM(H60:H61)),2)</f>
        <v>15.47</v>
      </c>
    </row>
    <row r="60" spans="1:8" ht="24" customHeight="1">
      <c r="A60" s="465" t="s">
        <v>4145</v>
      </c>
      <c r="B60" s="465" t="s">
        <v>4174</v>
      </c>
      <c r="C60" s="465" t="s">
        <v>4475</v>
      </c>
      <c r="D60" s="466" t="s">
        <v>4175</v>
      </c>
      <c r="E60" s="465" t="s">
        <v>2708</v>
      </c>
      <c r="F60" s="467">
        <v>0.35299999999999998</v>
      </c>
      <c r="G60" s="460">
        <v>19.27</v>
      </c>
      <c r="H60" s="460">
        <f t="shared" ref="H60:H61" si="4">ROUND((F60*G60),2)</f>
        <v>6.8</v>
      </c>
    </row>
    <row r="61" spans="1:8" ht="24" customHeight="1">
      <c r="A61" s="465" t="s">
        <v>4145</v>
      </c>
      <c r="B61" s="465" t="s">
        <v>4158</v>
      </c>
      <c r="C61" s="465" t="s">
        <v>4475</v>
      </c>
      <c r="D61" s="466" t="s">
        <v>4159</v>
      </c>
      <c r="E61" s="465" t="s">
        <v>2708</v>
      </c>
      <c r="F61" s="467">
        <v>0.66600000000000004</v>
      </c>
      <c r="G61" s="460">
        <v>13.02</v>
      </c>
      <c r="H61" s="460">
        <f t="shared" si="4"/>
        <v>8.67</v>
      </c>
    </row>
    <row r="62" spans="1:8" ht="14.4" customHeight="1">
      <c r="A62" s="560" t="s">
        <v>4474</v>
      </c>
      <c r="B62" s="560"/>
      <c r="C62" s="560"/>
      <c r="D62" s="560"/>
      <c r="E62" s="560"/>
      <c r="F62" s="560"/>
      <c r="G62" s="560"/>
      <c r="H62" s="455">
        <f>H59*1.2592</f>
        <v>19.479824000000001</v>
      </c>
    </row>
    <row r="63" spans="1:8">
      <c r="A63" s="576" t="s">
        <v>4150</v>
      </c>
      <c r="B63" s="576"/>
      <c r="C63" s="576"/>
      <c r="D63" s="576"/>
      <c r="E63" s="576"/>
      <c r="F63" s="576"/>
      <c r="G63" s="576"/>
      <c r="H63" s="576"/>
    </row>
    <row r="64" spans="1:8" ht="15" thickBot="1">
      <c r="A64" s="575" t="s">
        <v>4176</v>
      </c>
      <c r="B64" s="575"/>
      <c r="C64" s="575"/>
      <c r="D64" s="575"/>
      <c r="E64" s="575"/>
      <c r="F64" s="575"/>
      <c r="G64" s="575"/>
      <c r="H64" s="575"/>
    </row>
    <row r="65" spans="1:8" ht="15" thickTop="1">
      <c r="A65" s="403"/>
      <c r="B65" s="403"/>
      <c r="C65" s="403"/>
      <c r="D65" s="403"/>
      <c r="E65" s="403"/>
      <c r="F65" s="439"/>
      <c r="G65" s="439"/>
      <c r="H65" s="439"/>
    </row>
    <row r="66" spans="1:8">
      <c r="A66" s="441" t="s">
        <v>4177</v>
      </c>
      <c r="B66" s="441" t="s">
        <v>4137</v>
      </c>
      <c r="C66" s="441" t="s">
        <v>4138</v>
      </c>
      <c r="D66" s="442" t="s">
        <v>4139</v>
      </c>
      <c r="E66" s="441" t="s">
        <v>2723</v>
      </c>
      <c r="F66" s="441" t="s">
        <v>4140</v>
      </c>
      <c r="G66" s="441" t="s">
        <v>4141</v>
      </c>
      <c r="H66" s="441" t="s">
        <v>4142</v>
      </c>
    </row>
    <row r="67" spans="1:8" ht="25.95" customHeight="1">
      <c r="A67" s="447" t="s">
        <v>4143</v>
      </c>
      <c r="B67" s="447" t="s">
        <v>4389</v>
      </c>
      <c r="C67" s="447" t="s">
        <v>4144</v>
      </c>
      <c r="D67" s="448" t="s">
        <v>4178</v>
      </c>
      <c r="E67" s="447" t="s">
        <v>2894</v>
      </c>
      <c r="F67" s="449">
        <v>1</v>
      </c>
      <c r="G67" s="450">
        <v>40.36</v>
      </c>
      <c r="H67" s="450">
        <f>ROUND((H68),2)</f>
        <v>40.36</v>
      </c>
    </row>
    <row r="68" spans="1:8" ht="24" customHeight="1">
      <c r="A68" s="443" t="s">
        <v>4145</v>
      </c>
      <c r="B68" s="443" t="s">
        <v>4148</v>
      </c>
      <c r="C68" s="443" t="s">
        <v>4475</v>
      </c>
      <c r="D68" s="444" t="s">
        <v>4149</v>
      </c>
      <c r="E68" s="443" t="s">
        <v>2708</v>
      </c>
      <c r="F68" s="445">
        <v>3.5</v>
      </c>
      <c r="G68" s="446">
        <v>11.53</v>
      </c>
      <c r="H68" s="460">
        <f t="shared" ref="H68" si="5">ROUND((F68*G68),2)</f>
        <v>40.36</v>
      </c>
    </row>
    <row r="69" spans="1:8" ht="14.4" customHeight="1">
      <c r="A69" s="581" t="s">
        <v>4474</v>
      </c>
      <c r="B69" s="581"/>
      <c r="C69" s="581"/>
      <c r="D69" s="581"/>
      <c r="E69" s="581"/>
      <c r="F69" s="581"/>
      <c r="G69" s="581"/>
      <c r="H69" s="462">
        <f>ROUND((H67*1.2592),2)</f>
        <v>50.82</v>
      </c>
    </row>
    <row r="70" spans="1:8">
      <c r="A70" s="576" t="s">
        <v>4150</v>
      </c>
      <c r="B70" s="576"/>
      <c r="C70" s="576"/>
      <c r="D70" s="576"/>
      <c r="E70" s="576"/>
      <c r="F70" s="576"/>
      <c r="G70" s="576"/>
      <c r="H70" s="576"/>
    </row>
    <row r="71" spans="1:8" ht="15" thickBot="1">
      <c r="A71" s="575" t="s">
        <v>4179</v>
      </c>
      <c r="B71" s="575"/>
      <c r="C71" s="575"/>
      <c r="D71" s="575"/>
      <c r="E71" s="575"/>
      <c r="F71" s="575"/>
      <c r="G71" s="575"/>
      <c r="H71" s="575"/>
    </row>
    <row r="72" spans="1:8" ht="15" thickTop="1">
      <c r="A72" s="403"/>
      <c r="B72" s="403"/>
      <c r="C72" s="403"/>
      <c r="D72" s="403"/>
      <c r="E72" s="403"/>
      <c r="F72" s="439"/>
      <c r="G72" s="439"/>
      <c r="H72" s="439"/>
    </row>
    <row r="73" spans="1:8">
      <c r="A73" s="441" t="s">
        <v>4180</v>
      </c>
      <c r="B73" s="441" t="s">
        <v>4137</v>
      </c>
      <c r="C73" s="441" t="s">
        <v>4138</v>
      </c>
      <c r="D73" s="442" t="s">
        <v>4139</v>
      </c>
      <c r="E73" s="441" t="s">
        <v>2723</v>
      </c>
      <c r="F73" s="441" t="s">
        <v>4140</v>
      </c>
      <c r="G73" s="441" t="s">
        <v>4141</v>
      </c>
      <c r="H73" s="441" t="s">
        <v>4142</v>
      </c>
    </row>
    <row r="74" spans="1:8" ht="25.95" customHeight="1">
      <c r="A74" s="447" t="s">
        <v>4143</v>
      </c>
      <c r="B74" s="447" t="s">
        <v>4390</v>
      </c>
      <c r="C74" s="447" t="s">
        <v>4144</v>
      </c>
      <c r="D74" s="448" t="s">
        <v>4181</v>
      </c>
      <c r="E74" s="447" t="s">
        <v>2489</v>
      </c>
      <c r="F74" s="449">
        <v>1</v>
      </c>
      <c r="G74" s="450">
        <v>11.57</v>
      </c>
      <c r="H74" s="454">
        <f>ROUND((SUM(H75:H76)),2)</f>
        <v>11.57</v>
      </c>
    </row>
    <row r="75" spans="1:8" ht="24" customHeight="1">
      <c r="A75" s="443" t="s">
        <v>4145</v>
      </c>
      <c r="B75" s="443" t="s">
        <v>4148</v>
      </c>
      <c r="C75" s="443" t="s">
        <v>4475</v>
      </c>
      <c r="D75" s="444" t="s">
        <v>4149</v>
      </c>
      <c r="E75" s="443" t="s">
        <v>2708</v>
      </c>
      <c r="F75" s="445">
        <v>0.54222000000000004</v>
      </c>
      <c r="G75" s="446">
        <v>11.53</v>
      </c>
      <c r="H75" s="460">
        <f t="shared" ref="H75:H76" si="6">ROUND((F75*G75),2)</f>
        <v>6.25</v>
      </c>
    </row>
    <row r="76" spans="1:8" ht="24" customHeight="1">
      <c r="A76" s="443" t="s">
        <v>4145</v>
      </c>
      <c r="B76" s="443" t="s">
        <v>4146</v>
      </c>
      <c r="C76" s="443" t="s">
        <v>4475</v>
      </c>
      <c r="D76" s="444" t="s">
        <v>4147</v>
      </c>
      <c r="E76" s="443" t="s">
        <v>2708</v>
      </c>
      <c r="F76" s="445">
        <v>0.27615000000000001</v>
      </c>
      <c r="G76" s="446">
        <v>19.27</v>
      </c>
      <c r="H76" s="460">
        <f t="shared" si="6"/>
        <v>5.32</v>
      </c>
    </row>
    <row r="77" spans="1:8" ht="14.4" customHeight="1">
      <c r="A77" s="581" t="s">
        <v>4474</v>
      </c>
      <c r="B77" s="581"/>
      <c r="C77" s="581"/>
      <c r="D77" s="581"/>
      <c r="E77" s="581"/>
      <c r="F77" s="581"/>
      <c r="G77" s="581"/>
      <c r="H77" s="455">
        <f>H74*1.2592</f>
        <v>14.568944000000002</v>
      </c>
    </row>
    <row r="78" spans="1:8">
      <c r="A78" s="576" t="s">
        <v>4150</v>
      </c>
      <c r="B78" s="576"/>
      <c r="C78" s="576"/>
      <c r="D78" s="576"/>
      <c r="E78" s="576"/>
      <c r="F78" s="576"/>
      <c r="G78" s="576"/>
      <c r="H78" s="576"/>
    </row>
    <row r="79" spans="1:8" ht="15" thickBot="1">
      <c r="A79" s="575" t="s">
        <v>4182</v>
      </c>
      <c r="B79" s="575"/>
      <c r="C79" s="575"/>
      <c r="D79" s="575"/>
      <c r="E79" s="575"/>
      <c r="F79" s="575"/>
      <c r="G79" s="575"/>
      <c r="H79" s="575"/>
    </row>
    <row r="80" spans="1:8" ht="15" thickTop="1">
      <c r="A80" s="403"/>
      <c r="B80" s="403"/>
      <c r="C80" s="403"/>
      <c r="D80" s="403"/>
      <c r="E80" s="403"/>
      <c r="F80" s="439"/>
      <c r="G80" s="439"/>
      <c r="H80" s="439"/>
    </row>
    <row r="81" spans="1:8">
      <c r="A81" s="441" t="s">
        <v>4183</v>
      </c>
      <c r="B81" s="441" t="s">
        <v>4137</v>
      </c>
      <c r="C81" s="441" t="s">
        <v>4138</v>
      </c>
      <c r="D81" s="442" t="s">
        <v>4139</v>
      </c>
      <c r="E81" s="441" t="s">
        <v>2723</v>
      </c>
      <c r="F81" s="441" t="s">
        <v>4140</v>
      </c>
      <c r="G81" s="441" t="s">
        <v>4141</v>
      </c>
      <c r="H81" s="441" t="s">
        <v>4142</v>
      </c>
    </row>
    <row r="82" spans="1:8" ht="25.95" customHeight="1">
      <c r="A82" s="447" t="s">
        <v>4143</v>
      </c>
      <c r="B82" s="447" t="s">
        <v>4391</v>
      </c>
      <c r="C82" s="447" t="s">
        <v>4144</v>
      </c>
      <c r="D82" s="448" t="s">
        <v>4184</v>
      </c>
      <c r="E82" s="447" t="s">
        <v>2489</v>
      </c>
      <c r="F82" s="449">
        <v>1</v>
      </c>
      <c r="G82" s="450">
        <v>30.54</v>
      </c>
      <c r="H82" s="450">
        <f>ROUND((SUM(H83:H84)),2)</f>
        <v>30.54</v>
      </c>
    </row>
    <row r="83" spans="1:8" ht="24" customHeight="1">
      <c r="A83" s="443" t="s">
        <v>4145</v>
      </c>
      <c r="B83" s="443" t="s">
        <v>4148</v>
      </c>
      <c r="C83" s="443" t="s">
        <v>4475</v>
      </c>
      <c r="D83" s="444" t="s">
        <v>4149</v>
      </c>
      <c r="E83" s="443" t="s">
        <v>2708</v>
      </c>
      <c r="F83" s="445">
        <v>1.4312</v>
      </c>
      <c r="G83" s="446">
        <v>11.53</v>
      </c>
      <c r="H83" s="446">
        <f t="shared" ref="H83:H84" si="7">ROUND((F83*G83),2)</f>
        <v>16.5</v>
      </c>
    </row>
    <row r="84" spans="1:8" ht="24" customHeight="1">
      <c r="A84" s="443" t="s">
        <v>4145</v>
      </c>
      <c r="B84" s="443" t="s">
        <v>4146</v>
      </c>
      <c r="C84" s="443" t="s">
        <v>4475</v>
      </c>
      <c r="D84" s="444" t="s">
        <v>4147</v>
      </c>
      <c r="E84" s="443" t="s">
        <v>2708</v>
      </c>
      <c r="F84" s="445">
        <v>0.72860000000000003</v>
      </c>
      <c r="G84" s="446">
        <v>19.27</v>
      </c>
      <c r="H84" s="446">
        <f t="shared" si="7"/>
        <v>14.04</v>
      </c>
    </row>
    <row r="85" spans="1:8" ht="14.4" customHeight="1">
      <c r="A85" s="581" t="s">
        <v>4474</v>
      </c>
      <c r="B85" s="581"/>
      <c r="C85" s="581"/>
      <c r="D85" s="581"/>
      <c r="E85" s="581"/>
      <c r="F85" s="581"/>
      <c r="G85" s="581"/>
      <c r="H85" s="462">
        <f>H82*1.2592</f>
        <v>38.455967999999999</v>
      </c>
    </row>
    <row r="86" spans="1:8">
      <c r="A86" s="576" t="s">
        <v>4150</v>
      </c>
      <c r="B86" s="576"/>
      <c r="C86" s="576"/>
      <c r="D86" s="576"/>
      <c r="E86" s="576"/>
      <c r="F86" s="576"/>
      <c r="G86" s="576"/>
      <c r="H86" s="576"/>
    </row>
    <row r="87" spans="1:8" ht="15" thickBot="1">
      <c r="A87" s="575" t="s">
        <v>4185</v>
      </c>
      <c r="B87" s="575"/>
      <c r="C87" s="575"/>
      <c r="D87" s="575"/>
      <c r="E87" s="575"/>
      <c r="F87" s="575"/>
      <c r="G87" s="575"/>
      <c r="H87" s="575"/>
    </row>
    <row r="88" spans="1:8" ht="15" thickTop="1">
      <c r="A88" s="403"/>
      <c r="B88" s="403"/>
      <c r="C88" s="403"/>
      <c r="D88" s="403"/>
      <c r="E88" s="403"/>
      <c r="F88" s="439"/>
      <c r="G88" s="439"/>
      <c r="H88" s="439"/>
    </row>
    <row r="89" spans="1:8">
      <c r="A89" s="441" t="s">
        <v>4186</v>
      </c>
      <c r="B89" s="441" t="s">
        <v>4137</v>
      </c>
      <c r="C89" s="441" t="s">
        <v>4138</v>
      </c>
      <c r="D89" s="442" t="s">
        <v>4139</v>
      </c>
      <c r="E89" s="441" t="s">
        <v>2723</v>
      </c>
      <c r="F89" s="441" t="s">
        <v>4140</v>
      </c>
      <c r="G89" s="441" t="s">
        <v>4141</v>
      </c>
      <c r="H89" s="441" t="s">
        <v>4142</v>
      </c>
    </row>
    <row r="90" spans="1:8" ht="24" customHeight="1">
      <c r="A90" s="447" t="s">
        <v>4143</v>
      </c>
      <c r="B90" s="447" t="s">
        <v>4392</v>
      </c>
      <c r="C90" s="447" t="s">
        <v>4144</v>
      </c>
      <c r="D90" s="448" t="s">
        <v>3268</v>
      </c>
      <c r="E90" s="447" t="s">
        <v>2477</v>
      </c>
      <c r="F90" s="449">
        <v>1</v>
      </c>
      <c r="G90" s="450">
        <v>4.82</v>
      </c>
      <c r="H90" s="450">
        <f>ROUND((H91),2)</f>
        <v>4.82</v>
      </c>
    </row>
    <row r="91" spans="1:8" ht="24" customHeight="1">
      <c r="A91" s="443" t="s">
        <v>4145</v>
      </c>
      <c r="B91" s="443" t="s">
        <v>4187</v>
      </c>
      <c r="C91" s="443" t="s">
        <v>4475</v>
      </c>
      <c r="D91" s="444" t="s">
        <v>4188</v>
      </c>
      <c r="E91" s="443" t="s">
        <v>2708</v>
      </c>
      <c r="F91" s="445">
        <v>0.25</v>
      </c>
      <c r="G91" s="446">
        <v>19.27</v>
      </c>
      <c r="H91" s="446">
        <f t="shared" ref="H91" si="8">ROUND((F91*G91),2)</f>
        <v>4.82</v>
      </c>
    </row>
    <row r="92" spans="1:8" ht="14.4" customHeight="1">
      <c r="A92" s="581" t="s">
        <v>4474</v>
      </c>
      <c r="B92" s="581"/>
      <c r="C92" s="581"/>
      <c r="D92" s="581"/>
      <c r="E92" s="581"/>
      <c r="F92" s="581"/>
      <c r="G92" s="581"/>
      <c r="H92" s="462">
        <f>ROUND((H90*1.2592),2)</f>
        <v>6.07</v>
      </c>
    </row>
    <row r="93" spans="1:8">
      <c r="A93" s="576" t="s">
        <v>4150</v>
      </c>
      <c r="B93" s="576"/>
      <c r="C93" s="576"/>
      <c r="D93" s="576"/>
      <c r="E93" s="576"/>
      <c r="F93" s="576"/>
      <c r="G93" s="576"/>
      <c r="H93" s="576"/>
    </row>
    <row r="94" spans="1:8" ht="15" thickBot="1">
      <c r="A94" s="575" t="s">
        <v>4189</v>
      </c>
      <c r="B94" s="575"/>
      <c r="C94" s="575"/>
      <c r="D94" s="575"/>
      <c r="E94" s="575"/>
      <c r="F94" s="575"/>
      <c r="G94" s="575"/>
      <c r="H94" s="575"/>
    </row>
    <row r="95" spans="1:8" ht="15" thickTop="1">
      <c r="A95" s="403"/>
      <c r="B95" s="403"/>
      <c r="C95" s="403"/>
      <c r="D95" s="403"/>
      <c r="E95" s="403"/>
      <c r="F95" s="439"/>
      <c r="G95" s="439"/>
      <c r="H95" s="439"/>
    </row>
    <row r="96" spans="1:8">
      <c r="A96" s="441" t="s">
        <v>4190</v>
      </c>
      <c r="B96" s="441" t="s">
        <v>4137</v>
      </c>
      <c r="C96" s="441" t="s">
        <v>4138</v>
      </c>
      <c r="D96" s="442" t="s">
        <v>4139</v>
      </c>
      <c r="E96" s="441" t="s">
        <v>2723</v>
      </c>
      <c r="F96" s="441" t="s">
        <v>4140</v>
      </c>
      <c r="G96" s="441" t="s">
        <v>4141</v>
      </c>
      <c r="H96" s="441" t="s">
        <v>4142</v>
      </c>
    </row>
    <row r="97" spans="1:8" ht="24" customHeight="1">
      <c r="A97" s="447" t="s">
        <v>4143</v>
      </c>
      <c r="B97" s="447" t="s">
        <v>4393</v>
      </c>
      <c r="C97" s="447" t="s">
        <v>4144</v>
      </c>
      <c r="D97" s="448" t="s">
        <v>3284</v>
      </c>
      <c r="E97" s="447" t="s">
        <v>2489</v>
      </c>
      <c r="F97" s="449">
        <v>1</v>
      </c>
      <c r="G97" s="450">
        <v>26.04</v>
      </c>
      <c r="H97" s="450">
        <f>ROUND((H98),2)</f>
        <v>26.04</v>
      </c>
    </row>
    <row r="98" spans="1:8" ht="24" customHeight="1">
      <c r="A98" s="443" t="s">
        <v>4145</v>
      </c>
      <c r="B98" s="443" t="s">
        <v>4158</v>
      </c>
      <c r="C98" s="443" t="s">
        <v>4475</v>
      </c>
      <c r="D98" s="444" t="s">
        <v>4159</v>
      </c>
      <c r="E98" s="443" t="s">
        <v>2708</v>
      </c>
      <c r="F98" s="445">
        <v>2</v>
      </c>
      <c r="G98" s="446">
        <v>13.02</v>
      </c>
      <c r="H98" s="446">
        <f t="shared" ref="H98" si="9">ROUND((F98*G98),2)</f>
        <v>26.04</v>
      </c>
    </row>
    <row r="99" spans="1:8" ht="14.4" customHeight="1">
      <c r="A99" s="581" t="s">
        <v>4474</v>
      </c>
      <c r="B99" s="581"/>
      <c r="C99" s="581"/>
      <c r="D99" s="581"/>
      <c r="E99" s="581"/>
      <c r="F99" s="581"/>
      <c r="G99" s="581"/>
      <c r="H99" s="462">
        <f>ROUND((H97*1.2592),2)</f>
        <v>32.79</v>
      </c>
    </row>
    <row r="100" spans="1:8">
      <c r="A100" s="576" t="s">
        <v>4150</v>
      </c>
      <c r="B100" s="576"/>
      <c r="C100" s="576"/>
      <c r="D100" s="576"/>
      <c r="E100" s="576"/>
      <c r="F100" s="576"/>
      <c r="G100" s="576"/>
      <c r="H100" s="576"/>
    </row>
    <row r="101" spans="1:8" ht="15" thickBot="1">
      <c r="A101" s="575" t="s">
        <v>4191</v>
      </c>
      <c r="B101" s="575"/>
      <c r="C101" s="575"/>
      <c r="D101" s="575"/>
      <c r="E101" s="575"/>
      <c r="F101" s="575"/>
      <c r="G101" s="575"/>
      <c r="H101" s="575"/>
    </row>
    <row r="102" spans="1:8" ht="15" thickTop="1">
      <c r="A102" s="403"/>
      <c r="B102" s="403"/>
      <c r="C102" s="403"/>
      <c r="D102" s="403"/>
      <c r="E102" s="403"/>
      <c r="F102" s="439"/>
      <c r="G102" s="439"/>
      <c r="H102" s="439"/>
    </row>
    <row r="103" spans="1:8">
      <c r="A103" s="441" t="s">
        <v>4192</v>
      </c>
      <c r="B103" s="441" t="s">
        <v>4137</v>
      </c>
      <c r="C103" s="441" t="s">
        <v>4138</v>
      </c>
      <c r="D103" s="442" t="s">
        <v>4139</v>
      </c>
      <c r="E103" s="441" t="s">
        <v>2723</v>
      </c>
      <c r="F103" s="441" t="s">
        <v>4140</v>
      </c>
      <c r="G103" s="441" t="s">
        <v>4141</v>
      </c>
      <c r="H103" s="441" t="s">
        <v>4142</v>
      </c>
    </row>
    <row r="104" spans="1:8" ht="25.95" customHeight="1">
      <c r="A104" s="447" t="s">
        <v>4143</v>
      </c>
      <c r="B104" s="447" t="s">
        <v>4394</v>
      </c>
      <c r="C104" s="447" t="s">
        <v>4144</v>
      </c>
      <c r="D104" s="448" t="s">
        <v>4193</v>
      </c>
      <c r="E104" s="447" t="s">
        <v>2489</v>
      </c>
      <c r="F104" s="449">
        <v>1</v>
      </c>
      <c r="G104" s="450">
        <v>77.010000000000005</v>
      </c>
      <c r="H104" s="450">
        <f>ROUND((SUM(H105:H106)),2)</f>
        <v>77.010000000000005</v>
      </c>
    </row>
    <row r="105" spans="1:8" ht="24" customHeight="1">
      <c r="A105" s="443" t="s">
        <v>4145</v>
      </c>
      <c r="B105" s="443" t="s">
        <v>4146</v>
      </c>
      <c r="C105" s="443" t="s">
        <v>4475</v>
      </c>
      <c r="D105" s="444" t="s">
        <v>4147</v>
      </c>
      <c r="E105" s="443" t="s">
        <v>2708</v>
      </c>
      <c r="F105" s="445">
        <v>2.5</v>
      </c>
      <c r="G105" s="446">
        <v>19.27</v>
      </c>
      <c r="H105" s="446">
        <f t="shared" ref="H105:H106" si="10">ROUND((F105*G105),2)</f>
        <v>48.18</v>
      </c>
    </row>
    <row r="106" spans="1:8" ht="24" customHeight="1">
      <c r="A106" s="443" t="s">
        <v>4145</v>
      </c>
      <c r="B106" s="443" t="s">
        <v>4148</v>
      </c>
      <c r="C106" s="443" t="s">
        <v>4475</v>
      </c>
      <c r="D106" s="444" t="s">
        <v>4149</v>
      </c>
      <c r="E106" s="443" t="s">
        <v>2708</v>
      </c>
      <c r="F106" s="445">
        <v>2.5</v>
      </c>
      <c r="G106" s="446">
        <v>11.53</v>
      </c>
      <c r="H106" s="446">
        <f t="shared" si="10"/>
        <v>28.83</v>
      </c>
    </row>
    <row r="107" spans="1:8" ht="14.4" customHeight="1">
      <c r="A107" s="581" t="s">
        <v>4474</v>
      </c>
      <c r="B107" s="581"/>
      <c r="C107" s="581"/>
      <c r="D107" s="581"/>
      <c r="E107" s="581"/>
      <c r="F107" s="581"/>
      <c r="G107" s="581"/>
      <c r="H107" s="462">
        <f>H104*1.2592</f>
        <v>96.97099200000001</v>
      </c>
    </row>
    <row r="108" spans="1:8" ht="15" thickBot="1">
      <c r="A108" s="401"/>
      <c r="B108" s="401"/>
      <c r="C108" s="401"/>
      <c r="D108" s="401"/>
      <c r="E108" s="401"/>
      <c r="F108" s="404"/>
      <c r="G108" s="404"/>
      <c r="H108" s="440"/>
    </row>
    <row r="109" spans="1:8" ht="15" thickTop="1">
      <c r="A109" s="403"/>
      <c r="B109" s="403"/>
      <c r="C109" s="403"/>
      <c r="D109" s="403"/>
      <c r="E109" s="403"/>
      <c r="F109" s="439"/>
      <c r="G109" s="439"/>
      <c r="H109" s="439"/>
    </row>
    <row r="110" spans="1:8">
      <c r="A110" s="441" t="s">
        <v>4194</v>
      </c>
      <c r="B110" s="441" t="s">
        <v>4137</v>
      </c>
      <c r="C110" s="441" t="s">
        <v>4138</v>
      </c>
      <c r="D110" s="442" t="s">
        <v>4139</v>
      </c>
      <c r="E110" s="441" t="s">
        <v>2723</v>
      </c>
      <c r="F110" s="441" t="s">
        <v>4140</v>
      </c>
      <c r="G110" s="441" t="s">
        <v>4141</v>
      </c>
      <c r="H110" s="441" t="s">
        <v>4142</v>
      </c>
    </row>
    <row r="111" spans="1:8" ht="25.95" customHeight="1">
      <c r="A111" s="447" t="s">
        <v>4143</v>
      </c>
      <c r="B111" s="447" t="s">
        <v>4395</v>
      </c>
      <c r="C111" s="447" t="s">
        <v>4144</v>
      </c>
      <c r="D111" s="448" t="s">
        <v>2499</v>
      </c>
      <c r="E111" s="447" t="s">
        <v>2489</v>
      </c>
      <c r="F111" s="449">
        <v>1</v>
      </c>
      <c r="G111" s="450">
        <v>7.51</v>
      </c>
      <c r="H111" s="450">
        <f>ROUND((SUM(H112:H114)),2)</f>
        <v>7.51</v>
      </c>
    </row>
    <row r="112" spans="1:8" ht="24" customHeight="1">
      <c r="A112" s="443" t="s">
        <v>4145</v>
      </c>
      <c r="B112" s="443" t="s">
        <v>4158</v>
      </c>
      <c r="C112" s="443" t="s">
        <v>4475</v>
      </c>
      <c r="D112" s="444" t="s">
        <v>4159</v>
      </c>
      <c r="E112" s="443" t="s">
        <v>2708</v>
      </c>
      <c r="F112" s="445">
        <v>0.15</v>
      </c>
      <c r="G112" s="446">
        <v>13.02</v>
      </c>
      <c r="H112" s="446">
        <f t="shared" ref="H112:H114" si="11">ROUND((F112*G112),2)</f>
        <v>1.95</v>
      </c>
    </row>
    <row r="113" spans="1:8" ht="24" customHeight="1">
      <c r="A113" s="443" t="s">
        <v>4145</v>
      </c>
      <c r="B113" s="443" t="s">
        <v>4174</v>
      </c>
      <c r="C113" s="443" t="s">
        <v>4475</v>
      </c>
      <c r="D113" s="444" t="s">
        <v>4175</v>
      </c>
      <c r="E113" s="443" t="s">
        <v>2708</v>
      </c>
      <c r="F113" s="445">
        <v>0.15</v>
      </c>
      <c r="G113" s="446">
        <v>19.27</v>
      </c>
      <c r="H113" s="446">
        <f t="shared" si="11"/>
        <v>2.89</v>
      </c>
    </row>
    <row r="114" spans="1:8" ht="25.2" customHeight="1">
      <c r="A114" s="443" t="s">
        <v>4145</v>
      </c>
      <c r="B114" s="443" t="s">
        <v>4195</v>
      </c>
      <c r="C114" s="443" t="s">
        <v>4155</v>
      </c>
      <c r="D114" s="444" t="s">
        <v>4196</v>
      </c>
      <c r="E114" s="443" t="s">
        <v>2477</v>
      </c>
      <c r="F114" s="445">
        <v>1</v>
      </c>
      <c r="G114" s="446">
        <v>2.67</v>
      </c>
      <c r="H114" s="446">
        <f t="shared" si="11"/>
        <v>2.67</v>
      </c>
    </row>
    <row r="115" spans="1:8" ht="14.4" customHeight="1">
      <c r="A115" s="581" t="s">
        <v>4474</v>
      </c>
      <c r="B115" s="581"/>
      <c r="C115" s="581"/>
      <c r="D115" s="581"/>
      <c r="E115" s="581"/>
      <c r="F115" s="581"/>
      <c r="G115" s="581"/>
      <c r="H115" s="462">
        <f>H111*1.2592</f>
        <v>9.4565920000000006</v>
      </c>
    </row>
    <row r="116" spans="1:8">
      <c r="A116" s="576" t="s">
        <v>4150</v>
      </c>
      <c r="B116" s="576"/>
      <c r="C116" s="576"/>
      <c r="D116" s="576"/>
      <c r="E116" s="576"/>
      <c r="F116" s="576"/>
      <c r="G116" s="576"/>
      <c r="H116" s="576"/>
    </row>
    <row r="117" spans="1:8" ht="15" thickBot="1">
      <c r="A117" s="575" t="s">
        <v>4197</v>
      </c>
      <c r="B117" s="575"/>
      <c r="C117" s="575"/>
      <c r="D117" s="575"/>
      <c r="E117" s="575"/>
      <c r="F117" s="575"/>
      <c r="G117" s="575"/>
      <c r="H117" s="575"/>
    </row>
    <row r="118" spans="1:8" ht="15" thickTop="1">
      <c r="A118" s="403"/>
      <c r="B118" s="403"/>
      <c r="C118" s="403"/>
      <c r="D118" s="403"/>
      <c r="E118" s="403"/>
      <c r="F118" s="439"/>
      <c r="G118" s="439"/>
      <c r="H118" s="439"/>
    </row>
    <row r="119" spans="1:8">
      <c r="A119" s="441" t="s">
        <v>4198</v>
      </c>
      <c r="B119" s="441" t="s">
        <v>4137</v>
      </c>
      <c r="C119" s="441" t="s">
        <v>4138</v>
      </c>
      <c r="D119" s="442" t="s">
        <v>4139</v>
      </c>
      <c r="E119" s="441" t="s">
        <v>2723</v>
      </c>
      <c r="F119" s="441" t="s">
        <v>4140</v>
      </c>
      <c r="G119" s="441" t="s">
        <v>4141</v>
      </c>
      <c r="H119" s="441" t="s">
        <v>4142</v>
      </c>
    </row>
    <row r="120" spans="1:8" ht="24" customHeight="1">
      <c r="A120" s="447" t="s">
        <v>4143</v>
      </c>
      <c r="B120" s="447" t="s">
        <v>4396</v>
      </c>
      <c r="C120" s="447" t="s">
        <v>4144</v>
      </c>
      <c r="D120" s="448" t="s">
        <v>2500</v>
      </c>
      <c r="E120" s="447" t="s">
        <v>2489</v>
      </c>
      <c r="F120" s="449">
        <v>1</v>
      </c>
      <c r="G120" s="450">
        <v>0.17</v>
      </c>
      <c r="H120" s="450">
        <f>ROUND((H121),2)</f>
        <v>0.17</v>
      </c>
    </row>
    <row r="121" spans="1:8" ht="24" customHeight="1">
      <c r="A121" s="443" t="s">
        <v>4145</v>
      </c>
      <c r="B121" s="443" t="s">
        <v>4397</v>
      </c>
      <c r="C121" s="443" t="s">
        <v>4144</v>
      </c>
      <c r="D121" s="444" t="s">
        <v>2500</v>
      </c>
      <c r="E121" s="443" t="s">
        <v>2489</v>
      </c>
      <c r="F121" s="445">
        <v>1</v>
      </c>
      <c r="G121" s="446">
        <v>0.17</v>
      </c>
      <c r="H121" s="446">
        <f t="shared" ref="H121" si="12">ROUND((F121*G121),2)</f>
        <v>0.17</v>
      </c>
    </row>
    <row r="122" spans="1:8" ht="14.4" customHeight="1">
      <c r="A122" s="581" t="s">
        <v>4474</v>
      </c>
      <c r="B122" s="581"/>
      <c r="C122" s="581"/>
      <c r="D122" s="581"/>
      <c r="E122" s="581"/>
      <c r="F122" s="581"/>
      <c r="G122" s="581"/>
      <c r="H122" s="462">
        <f>ROUND((H120*1.2592),2)</f>
        <v>0.21</v>
      </c>
    </row>
    <row r="123" spans="1:8">
      <c r="A123" s="576" t="s">
        <v>4150</v>
      </c>
      <c r="B123" s="576"/>
      <c r="C123" s="576"/>
      <c r="D123" s="576"/>
      <c r="E123" s="576"/>
      <c r="F123" s="576"/>
      <c r="G123" s="576"/>
      <c r="H123" s="576"/>
    </row>
    <row r="124" spans="1:8" ht="15" thickBot="1">
      <c r="A124" s="575" t="s">
        <v>4199</v>
      </c>
      <c r="B124" s="575"/>
      <c r="C124" s="575"/>
      <c r="D124" s="575"/>
      <c r="E124" s="575"/>
      <c r="F124" s="575"/>
      <c r="G124" s="575"/>
      <c r="H124" s="575"/>
    </row>
    <row r="125" spans="1:8" ht="15" thickTop="1">
      <c r="A125" s="403"/>
      <c r="B125" s="403"/>
      <c r="C125" s="403"/>
      <c r="D125" s="403"/>
      <c r="E125" s="403"/>
      <c r="F125" s="439"/>
      <c r="G125" s="439"/>
      <c r="H125" s="439"/>
    </row>
    <row r="126" spans="1:8">
      <c r="A126" s="441" t="s">
        <v>4200</v>
      </c>
      <c r="B126" s="441" t="s">
        <v>4137</v>
      </c>
      <c r="C126" s="441" t="s">
        <v>4138</v>
      </c>
      <c r="D126" s="442" t="s">
        <v>4139</v>
      </c>
      <c r="E126" s="441" t="s">
        <v>2723</v>
      </c>
      <c r="F126" s="441" t="s">
        <v>4140</v>
      </c>
      <c r="G126" s="441" t="s">
        <v>4141</v>
      </c>
      <c r="H126" s="441" t="s">
        <v>4142</v>
      </c>
    </row>
    <row r="127" spans="1:8" ht="25.95" customHeight="1">
      <c r="A127" s="447" t="s">
        <v>4143</v>
      </c>
      <c r="B127" s="447" t="s">
        <v>4398</v>
      </c>
      <c r="C127" s="447" t="s">
        <v>4144</v>
      </c>
      <c r="D127" s="448" t="s">
        <v>2556</v>
      </c>
      <c r="E127" s="447" t="s">
        <v>2489</v>
      </c>
      <c r="F127" s="449">
        <v>1</v>
      </c>
      <c r="G127" s="450">
        <v>1.38</v>
      </c>
      <c r="H127" s="450">
        <f>ROUND((SUM(H128:H130)),2)</f>
        <v>1.38</v>
      </c>
    </row>
    <row r="128" spans="1:8" ht="24" customHeight="1">
      <c r="A128" s="443" t="s">
        <v>4145</v>
      </c>
      <c r="B128" s="443" t="s">
        <v>4158</v>
      </c>
      <c r="C128" s="443" t="s">
        <v>4475</v>
      </c>
      <c r="D128" s="444" t="s">
        <v>4159</v>
      </c>
      <c r="E128" s="443" t="s">
        <v>2708</v>
      </c>
      <c r="F128" s="445">
        <v>6.6E-3</v>
      </c>
      <c r="G128" s="446">
        <v>13.02</v>
      </c>
      <c r="H128" s="446">
        <f t="shared" ref="H128:H130" si="13">ROUND((F128*G128),2)</f>
        <v>0.09</v>
      </c>
    </row>
    <row r="129" spans="1:8" ht="24" customHeight="1">
      <c r="A129" s="443" t="s">
        <v>4145</v>
      </c>
      <c r="B129" s="443" t="s">
        <v>4174</v>
      </c>
      <c r="C129" s="443" t="s">
        <v>4475</v>
      </c>
      <c r="D129" s="444" t="s">
        <v>4175</v>
      </c>
      <c r="E129" s="443" t="s">
        <v>2708</v>
      </c>
      <c r="F129" s="445">
        <v>6.6E-3</v>
      </c>
      <c r="G129" s="446">
        <v>19.27</v>
      </c>
      <c r="H129" s="446">
        <f t="shared" si="13"/>
        <v>0.13</v>
      </c>
    </row>
    <row r="130" spans="1:8" ht="25.95" customHeight="1">
      <c r="A130" s="443" t="s">
        <v>4145</v>
      </c>
      <c r="B130" s="443" t="s">
        <v>4201</v>
      </c>
      <c r="C130" s="443" t="s">
        <v>4155</v>
      </c>
      <c r="D130" s="444" t="s">
        <v>4202</v>
      </c>
      <c r="E130" s="443" t="s">
        <v>2477</v>
      </c>
      <c r="F130" s="445">
        <v>1</v>
      </c>
      <c r="G130" s="446">
        <v>1.1599999999999999</v>
      </c>
      <c r="H130" s="446">
        <f t="shared" si="13"/>
        <v>1.1599999999999999</v>
      </c>
    </row>
    <row r="131" spans="1:8" ht="14.4" customHeight="1">
      <c r="A131" s="581" t="s">
        <v>4474</v>
      </c>
      <c r="B131" s="581"/>
      <c r="C131" s="581"/>
      <c r="D131" s="581"/>
      <c r="E131" s="581"/>
      <c r="F131" s="581"/>
      <c r="G131" s="581"/>
      <c r="H131" s="462">
        <f>H127*1.2592</f>
        <v>1.7376959999999999</v>
      </c>
    </row>
    <row r="132" spans="1:8">
      <c r="A132" s="576" t="s">
        <v>4150</v>
      </c>
      <c r="B132" s="576"/>
      <c r="C132" s="576"/>
      <c r="D132" s="576"/>
      <c r="E132" s="576"/>
      <c r="F132" s="576"/>
      <c r="G132" s="576"/>
      <c r="H132" s="576"/>
    </row>
    <row r="133" spans="1:8" ht="15" thickBot="1">
      <c r="A133" s="575" t="s">
        <v>4203</v>
      </c>
      <c r="B133" s="575"/>
      <c r="C133" s="575"/>
      <c r="D133" s="575"/>
      <c r="E133" s="575"/>
      <c r="F133" s="575"/>
      <c r="G133" s="575"/>
      <c r="H133" s="575"/>
    </row>
    <row r="134" spans="1:8" ht="15" thickTop="1">
      <c r="A134" s="403"/>
      <c r="B134" s="403"/>
      <c r="C134" s="403"/>
      <c r="D134" s="403"/>
      <c r="E134" s="403"/>
      <c r="F134" s="439"/>
      <c r="G134" s="439"/>
      <c r="H134" s="439"/>
    </row>
    <row r="135" spans="1:8">
      <c r="A135" s="441" t="s">
        <v>4204</v>
      </c>
      <c r="B135" s="441" t="s">
        <v>4137</v>
      </c>
      <c r="C135" s="441" t="s">
        <v>4138</v>
      </c>
      <c r="D135" s="442" t="s">
        <v>4139</v>
      </c>
      <c r="E135" s="441" t="s">
        <v>2723</v>
      </c>
      <c r="F135" s="441" t="s">
        <v>4140</v>
      </c>
      <c r="G135" s="441" t="s">
        <v>4141</v>
      </c>
      <c r="H135" s="441" t="s">
        <v>4142</v>
      </c>
    </row>
    <row r="136" spans="1:8" ht="24" customHeight="1">
      <c r="A136" s="447" t="s">
        <v>4143</v>
      </c>
      <c r="B136" s="447" t="s">
        <v>4399</v>
      </c>
      <c r="C136" s="447" t="s">
        <v>4144</v>
      </c>
      <c r="D136" s="448" t="s">
        <v>2501</v>
      </c>
      <c r="E136" s="447" t="s">
        <v>2489</v>
      </c>
      <c r="F136" s="449">
        <v>1</v>
      </c>
      <c r="G136" s="450">
        <v>0.46</v>
      </c>
      <c r="H136" s="450">
        <f>ROUND((SUM(H137:H139)),2)</f>
        <v>0.46</v>
      </c>
    </row>
    <row r="137" spans="1:8" ht="24" customHeight="1">
      <c r="A137" s="443" t="s">
        <v>4145</v>
      </c>
      <c r="B137" s="443" t="s">
        <v>4158</v>
      </c>
      <c r="C137" s="443" t="s">
        <v>4475</v>
      </c>
      <c r="D137" s="444" t="s">
        <v>4159</v>
      </c>
      <c r="E137" s="443" t="s">
        <v>2708</v>
      </c>
      <c r="F137" s="445">
        <v>6.6E-3</v>
      </c>
      <c r="G137" s="446">
        <v>13.02</v>
      </c>
      <c r="H137" s="446">
        <f t="shared" ref="H137:H139" si="14">ROUND((F137*G137),2)</f>
        <v>0.09</v>
      </c>
    </row>
    <row r="138" spans="1:8" ht="24" customHeight="1">
      <c r="A138" s="443" t="s">
        <v>4145</v>
      </c>
      <c r="B138" s="443" t="s">
        <v>4174</v>
      </c>
      <c r="C138" s="443" t="s">
        <v>4475</v>
      </c>
      <c r="D138" s="444" t="s">
        <v>4175</v>
      </c>
      <c r="E138" s="443" t="s">
        <v>2708</v>
      </c>
      <c r="F138" s="445">
        <v>6.6E-3</v>
      </c>
      <c r="G138" s="446">
        <v>19.27</v>
      </c>
      <c r="H138" s="446">
        <f t="shared" si="14"/>
        <v>0.13</v>
      </c>
    </row>
    <row r="139" spans="1:8" ht="24" customHeight="1">
      <c r="A139" s="443" t="s">
        <v>4145</v>
      </c>
      <c r="B139" s="443" t="s">
        <v>4205</v>
      </c>
      <c r="C139" s="443" t="s">
        <v>4155</v>
      </c>
      <c r="D139" s="444" t="s">
        <v>4206</v>
      </c>
      <c r="E139" s="443" t="s">
        <v>2477</v>
      </c>
      <c r="F139" s="445">
        <v>1</v>
      </c>
      <c r="G139" s="446">
        <v>0.24</v>
      </c>
      <c r="H139" s="446">
        <f t="shared" si="14"/>
        <v>0.24</v>
      </c>
    </row>
    <row r="140" spans="1:8" ht="14.4" customHeight="1">
      <c r="A140" s="581" t="s">
        <v>4474</v>
      </c>
      <c r="B140" s="581"/>
      <c r="C140" s="581"/>
      <c r="D140" s="581"/>
      <c r="E140" s="581"/>
      <c r="F140" s="581"/>
      <c r="G140" s="581"/>
      <c r="H140" s="462">
        <f>H136*1.2592</f>
        <v>0.57923200000000008</v>
      </c>
    </row>
    <row r="141" spans="1:8">
      <c r="A141" s="576" t="s">
        <v>4150</v>
      </c>
      <c r="B141" s="576"/>
      <c r="C141" s="576"/>
      <c r="D141" s="576"/>
      <c r="E141" s="576"/>
      <c r="F141" s="576"/>
      <c r="G141" s="576"/>
      <c r="H141" s="576"/>
    </row>
    <row r="142" spans="1:8" ht="15" thickBot="1">
      <c r="A142" s="575" t="s">
        <v>4207</v>
      </c>
      <c r="B142" s="575"/>
      <c r="C142" s="575"/>
      <c r="D142" s="575"/>
      <c r="E142" s="575"/>
      <c r="F142" s="575"/>
      <c r="G142" s="575"/>
      <c r="H142" s="575"/>
    </row>
    <row r="143" spans="1:8" ht="15" thickTop="1">
      <c r="A143" s="403"/>
      <c r="B143" s="403"/>
      <c r="C143" s="403"/>
      <c r="D143" s="403"/>
      <c r="E143" s="403"/>
      <c r="F143" s="439"/>
      <c r="G143" s="439"/>
      <c r="H143" s="439"/>
    </row>
    <row r="144" spans="1:8" ht="18" customHeight="1">
      <c r="A144" s="441" t="s">
        <v>4208</v>
      </c>
      <c r="B144" s="441" t="s">
        <v>4137</v>
      </c>
      <c r="C144" s="441" t="s">
        <v>4138</v>
      </c>
      <c r="D144" s="442" t="s">
        <v>4139</v>
      </c>
      <c r="E144" s="441" t="s">
        <v>2723</v>
      </c>
      <c r="F144" s="441" t="s">
        <v>4140</v>
      </c>
      <c r="G144" s="441" t="s">
        <v>4141</v>
      </c>
      <c r="H144" s="441" t="s">
        <v>4142</v>
      </c>
    </row>
    <row r="145" spans="1:8" ht="25.95" customHeight="1">
      <c r="A145" s="447" t="s">
        <v>4143</v>
      </c>
      <c r="B145" s="447" t="s">
        <v>4400</v>
      </c>
      <c r="C145" s="447" t="s">
        <v>4144</v>
      </c>
      <c r="D145" s="448" t="s">
        <v>4209</v>
      </c>
      <c r="E145" s="447" t="s">
        <v>2489</v>
      </c>
      <c r="F145" s="449">
        <v>1</v>
      </c>
      <c r="G145" s="450">
        <v>5.58</v>
      </c>
      <c r="H145" s="450">
        <f>ROUND((SUM(H146:H148)),2)</f>
        <v>5.58</v>
      </c>
    </row>
    <row r="146" spans="1:8" ht="24" customHeight="1">
      <c r="A146" s="443" t="s">
        <v>4145</v>
      </c>
      <c r="B146" s="443" t="s">
        <v>4158</v>
      </c>
      <c r="C146" s="443" t="s">
        <v>4475</v>
      </c>
      <c r="D146" s="444" t="s">
        <v>4159</v>
      </c>
      <c r="E146" s="443" t="s">
        <v>2708</v>
      </c>
      <c r="F146" s="445">
        <v>0.03</v>
      </c>
      <c r="G146" s="446">
        <v>13.02</v>
      </c>
      <c r="H146" s="446">
        <f t="shared" ref="H146:H148" si="15">ROUND((F146*G146),2)</f>
        <v>0.39</v>
      </c>
    </row>
    <row r="147" spans="1:8" ht="24" customHeight="1">
      <c r="A147" s="443" t="s">
        <v>4145</v>
      </c>
      <c r="B147" s="443" t="s">
        <v>4174</v>
      </c>
      <c r="C147" s="443" t="s">
        <v>4475</v>
      </c>
      <c r="D147" s="444" t="s">
        <v>4175</v>
      </c>
      <c r="E147" s="443" t="s">
        <v>2708</v>
      </c>
      <c r="F147" s="445">
        <v>0.03</v>
      </c>
      <c r="G147" s="446">
        <v>19.27</v>
      </c>
      <c r="H147" s="446">
        <f t="shared" si="15"/>
        <v>0.57999999999999996</v>
      </c>
    </row>
    <row r="148" spans="1:8" ht="24" customHeight="1">
      <c r="A148" s="443" t="s">
        <v>4145</v>
      </c>
      <c r="B148" s="443" t="s">
        <v>4401</v>
      </c>
      <c r="C148" s="443" t="s">
        <v>4144</v>
      </c>
      <c r="D148" s="444" t="s">
        <v>2545</v>
      </c>
      <c r="E148" s="443" t="s">
        <v>2489</v>
      </c>
      <c r="F148" s="445">
        <v>1</v>
      </c>
      <c r="G148" s="446">
        <v>4.6100000000000003</v>
      </c>
      <c r="H148" s="446">
        <f t="shared" si="15"/>
        <v>4.6100000000000003</v>
      </c>
    </row>
    <row r="149" spans="1:8" ht="14.4" customHeight="1">
      <c r="A149" s="581" t="s">
        <v>4474</v>
      </c>
      <c r="B149" s="581"/>
      <c r="C149" s="581"/>
      <c r="D149" s="581"/>
      <c r="E149" s="581"/>
      <c r="F149" s="581"/>
      <c r="G149" s="581"/>
      <c r="H149" s="462">
        <f>H145*1.2592</f>
        <v>7.0263360000000006</v>
      </c>
    </row>
    <row r="150" spans="1:8">
      <c r="A150" s="576" t="s">
        <v>4150</v>
      </c>
      <c r="B150" s="576"/>
      <c r="C150" s="576"/>
      <c r="D150" s="576"/>
      <c r="E150" s="576"/>
      <c r="F150" s="576"/>
      <c r="G150" s="576"/>
      <c r="H150" s="576"/>
    </row>
    <row r="151" spans="1:8" ht="15" thickBot="1">
      <c r="A151" s="575" t="s">
        <v>4210</v>
      </c>
      <c r="B151" s="575"/>
      <c r="C151" s="575"/>
      <c r="D151" s="575"/>
      <c r="E151" s="575"/>
      <c r="F151" s="575"/>
      <c r="G151" s="575"/>
      <c r="H151" s="575"/>
    </row>
    <row r="152" spans="1:8" ht="15" thickTop="1">
      <c r="A152" s="403"/>
      <c r="B152" s="403"/>
      <c r="C152" s="403"/>
      <c r="D152" s="403"/>
      <c r="E152" s="403"/>
      <c r="F152" s="439"/>
      <c r="G152" s="439"/>
      <c r="H152" s="439"/>
    </row>
    <row r="153" spans="1:8">
      <c r="A153" s="441" t="s">
        <v>4211</v>
      </c>
      <c r="B153" s="441" t="s">
        <v>4137</v>
      </c>
      <c r="C153" s="441" t="s">
        <v>4138</v>
      </c>
      <c r="D153" s="442" t="s">
        <v>4139</v>
      </c>
      <c r="E153" s="441" t="s">
        <v>2723</v>
      </c>
      <c r="F153" s="441" t="s">
        <v>4140</v>
      </c>
      <c r="G153" s="441" t="s">
        <v>4141</v>
      </c>
      <c r="H153" s="441" t="s">
        <v>4142</v>
      </c>
    </row>
    <row r="154" spans="1:8" ht="24" customHeight="1">
      <c r="A154" s="447" t="s">
        <v>4143</v>
      </c>
      <c r="B154" s="447" t="s">
        <v>4402</v>
      </c>
      <c r="C154" s="447" t="s">
        <v>4144</v>
      </c>
      <c r="D154" s="448" t="s">
        <v>2681</v>
      </c>
      <c r="E154" s="447" t="s">
        <v>2489</v>
      </c>
      <c r="F154" s="449">
        <v>1</v>
      </c>
      <c r="G154" s="450">
        <v>55.57</v>
      </c>
      <c r="H154" s="450">
        <f>ROUND((SUM(H155:H157)),2)</f>
        <v>55.57</v>
      </c>
    </row>
    <row r="155" spans="1:8" ht="24" customHeight="1">
      <c r="A155" s="443" t="s">
        <v>4145</v>
      </c>
      <c r="B155" s="443" t="s">
        <v>4158</v>
      </c>
      <c r="C155" s="443" t="s">
        <v>4475</v>
      </c>
      <c r="D155" s="444" t="s">
        <v>4159</v>
      </c>
      <c r="E155" s="443" t="s">
        <v>2708</v>
      </c>
      <c r="F155" s="445">
        <v>0.03</v>
      </c>
      <c r="G155" s="446">
        <v>13.02</v>
      </c>
      <c r="H155" s="446">
        <f t="shared" ref="H155:H157" si="16">ROUND((F155*G155),2)</f>
        <v>0.39</v>
      </c>
    </row>
    <row r="156" spans="1:8" ht="24" customHeight="1">
      <c r="A156" s="443" t="s">
        <v>4145</v>
      </c>
      <c r="B156" s="443" t="s">
        <v>4174</v>
      </c>
      <c r="C156" s="443" t="s">
        <v>4475</v>
      </c>
      <c r="D156" s="444" t="s">
        <v>4175</v>
      </c>
      <c r="E156" s="443" t="s">
        <v>2708</v>
      </c>
      <c r="F156" s="445">
        <v>0.03</v>
      </c>
      <c r="G156" s="446">
        <v>19.27</v>
      </c>
      <c r="H156" s="446">
        <f t="shared" si="16"/>
        <v>0.57999999999999996</v>
      </c>
    </row>
    <row r="157" spans="1:8" ht="24" customHeight="1">
      <c r="A157" s="443" t="s">
        <v>4145</v>
      </c>
      <c r="B157" s="443" t="s">
        <v>4403</v>
      </c>
      <c r="C157" s="443" t="s">
        <v>4144</v>
      </c>
      <c r="D157" s="444" t="s">
        <v>2793</v>
      </c>
      <c r="E157" s="443" t="s">
        <v>2489</v>
      </c>
      <c r="F157" s="445">
        <v>1</v>
      </c>
      <c r="G157" s="446">
        <v>54.6</v>
      </c>
      <c r="H157" s="446">
        <f t="shared" si="16"/>
        <v>54.6</v>
      </c>
    </row>
    <row r="158" spans="1:8" ht="14.4" customHeight="1">
      <c r="A158" s="581" t="s">
        <v>4474</v>
      </c>
      <c r="B158" s="581"/>
      <c r="C158" s="581"/>
      <c r="D158" s="581"/>
      <c r="E158" s="581"/>
      <c r="F158" s="581"/>
      <c r="G158" s="581"/>
      <c r="H158" s="462">
        <f>H154*1.2592</f>
        <v>69.973744000000011</v>
      </c>
    </row>
    <row r="159" spans="1:8">
      <c r="A159" s="576" t="s">
        <v>4150</v>
      </c>
      <c r="B159" s="576"/>
      <c r="C159" s="576"/>
      <c r="D159" s="576"/>
      <c r="E159" s="576"/>
      <c r="F159" s="576"/>
      <c r="G159" s="576"/>
      <c r="H159" s="576"/>
    </row>
    <row r="160" spans="1:8" ht="15" thickBot="1">
      <c r="A160" s="575" t="s">
        <v>4210</v>
      </c>
      <c r="B160" s="575"/>
      <c r="C160" s="575"/>
      <c r="D160" s="575"/>
      <c r="E160" s="575"/>
      <c r="F160" s="575"/>
      <c r="G160" s="575"/>
      <c r="H160" s="575"/>
    </row>
    <row r="161" spans="1:8" ht="15" thickTop="1">
      <c r="A161" s="403"/>
      <c r="B161" s="403"/>
      <c r="C161" s="403"/>
      <c r="D161" s="403"/>
      <c r="E161" s="403"/>
      <c r="F161" s="439"/>
      <c r="G161" s="439"/>
      <c r="H161" s="439"/>
    </row>
    <row r="162" spans="1:8">
      <c r="A162" s="441" t="s">
        <v>4212</v>
      </c>
      <c r="B162" s="441" t="s">
        <v>4137</v>
      </c>
      <c r="C162" s="441" t="s">
        <v>4138</v>
      </c>
      <c r="D162" s="442" t="s">
        <v>4139</v>
      </c>
      <c r="E162" s="441" t="s">
        <v>2723</v>
      </c>
      <c r="F162" s="441" t="s">
        <v>4140</v>
      </c>
      <c r="G162" s="441" t="s">
        <v>4141</v>
      </c>
      <c r="H162" s="441" t="s">
        <v>4142</v>
      </c>
    </row>
    <row r="163" spans="1:8" ht="25.95" customHeight="1">
      <c r="A163" s="447" t="s">
        <v>4143</v>
      </c>
      <c r="B163" s="447" t="s">
        <v>4404</v>
      </c>
      <c r="C163" s="447" t="s">
        <v>4144</v>
      </c>
      <c r="D163" s="448" t="s">
        <v>4213</v>
      </c>
      <c r="E163" s="447" t="s">
        <v>2487</v>
      </c>
      <c r="F163" s="449">
        <v>1</v>
      </c>
      <c r="G163" s="450">
        <v>53</v>
      </c>
      <c r="H163" s="450">
        <f>ROUND((SUM(H164:H166)),2)</f>
        <v>53</v>
      </c>
    </row>
    <row r="164" spans="1:8" ht="24" customHeight="1">
      <c r="A164" s="443" t="s">
        <v>4145</v>
      </c>
      <c r="B164" s="443" t="s">
        <v>4174</v>
      </c>
      <c r="C164" s="443" t="s">
        <v>4475</v>
      </c>
      <c r="D164" s="444" t="s">
        <v>4175</v>
      </c>
      <c r="E164" s="443" t="s">
        <v>2708</v>
      </c>
      <c r="F164" s="445">
        <v>0.4</v>
      </c>
      <c r="G164" s="446">
        <v>19.27</v>
      </c>
      <c r="H164" s="446">
        <f t="shared" ref="H164:H166" si="17">ROUND((F164*G164),2)</f>
        <v>7.71</v>
      </c>
    </row>
    <row r="165" spans="1:8" ht="24" customHeight="1">
      <c r="A165" s="443" t="s">
        <v>4145</v>
      </c>
      <c r="B165" s="443" t="s">
        <v>4158</v>
      </c>
      <c r="C165" s="443" t="s">
        <v>4475</v>
      </c>
      <c r="D165" s="444" t="s">
        <v>4159</v>
      </c>
      <c r="E165" s="443" t="s">
        <v>2708</v>
      </c>
      <c r="F165" s="445">
        <v>0.4</v>
      </c>
      <c r="G165" s="446">
        <v>13.02</v>
      </c>
      <c r="H165" s="446">
        <f t="shared" si="17"/>
        <v>5.21</v>
      </c>
    </row>
    <row r="166" spans="1:8" ht="25.95" customHeight="1">
      <c r="A166" s="443" t="s">
        <v>4145</v>
      </c>
      <c r="B166" s="443" t="s">
        <v>4405</v>
      </c>
      <c r="C166" s="443" t="s">
        <v>4144</v>
      </c>
      <c r="D166" s="444" t="s">
        <v>3923</v>
      </c>
      <c r="E166" s="443" t="s">
        <v>2487</v>
      </c>
      <c r="F166" s="445">
        <v>1</v>
      </c>
      <c r="G166" s="446">
        <v>40.08</v>
      </c>
      <c r="H166" s="446">
        <f t="shared" si="17"/>
        <v>40.08</v>
      </c>
    </row>
    <row r="167" spans="1:8" ht="14.4" customHeight="1">
      <c r="A167" s="581" t="s">
        <v>4474</v>
      </c>
      <c r="B167" s="581"/>
      <c r="C167" s="581"/>
      <c r="D167" s="581"/>
      <c r="E167" s="581"/>
      <c r="F167" s="581"/>
      <c r="G167" s="581"/>
      <c r="H167" s="462">
        <f>H163*1.2592</f>
        <v>66.7376</v>
      </c>
    </row>
    <row r="168" spans="1:8">
      <c r="A168" s="576" t="s">
        <v>4150</v>
      </c>
      <c r="B168" s="576"/>
      <c r="C168" s="576"/>
      <c r="D168" s="576"/>
      <c r="E168" s="576"/>
      <c r="F168" s="576"/>
      <c r="G168" s="576"/>
      <c r="H168" s="576"/>
    </row>
    <row r="169" spans="1:8" ht="15" thickBot="1">
      <c r="A169" s="575" t="s">
        <v>4214</v>
      </c>
      <c r="B169" s="575"/>
      <c r="C169" s="575"/>
      <c r="D169" s="575"/>
      <c r="E169" s="575"/>
      <c r="F169" s="575"/>
      <c r="G169" s="575"/>
      <c r="H169" s="575"/>
    </row>
    <row r="170" spans="1:8" ht="15" thickTop="1">
      <c r="A170" s="403"/>
      <c r="B170" s="403"/>
      <c r="C170" s="403"/>
      <c r="D170" s="403"/>
      <c r="E170" s="403"/>
      <c r="F170" s="439"/>
      <c r="G170" s="439"/>
      <c r="H170" s="439"/>
    </row>
    <row r="171" spans="1:8">
      <c r="A171" s="441" t="s">
        <v>4215</v>
      </c>
      <c r="B171" s="441" t="s">
        <v>4137</v>
      </c>
      <c r="C171" s="441" t="s">
        <v>4138</v>
      </c>
      <c r="D171" s="442" t="s">
        <v>4139</v>
      </c>
      <c r="E171" s="441" t="s">
        <v>2723</v>
      </c>
      <c r="F171" s="441" t="s">
        <v>4140</v>
      </c>
      <c r="G171" s="441" t="s">
        <v>4141</v>
      </c>
      <c r="H171" s="441" t="s">
        <v>4142</v>
      </c>
    </row>
    <row r="172" spans="1:8" ht="25.95" customHeight="1">
      <c r="A172" s="447" t="s">
        <v>4143</v>
      </c>
      <c r="B172" s="447" t="s">
        <v>4406</v>
      </c>
      <c r="C172" s="447" t="s">
        <v>4144</v>
      </c>
      <c r="D172" s="448" t="s">
        <v>2572</v>
      </c>
      <c r="E172" s="447" t="s">
        <v>2489</v>
      </c>
      <c r="F172" s="449">
        <v>1</v>
      </c>
      <c r="G172" s="450">
        <v>11.99</v>
      </c>
      <c r="H172" s="450">
        <f>ROUND((SUM(H173:H175)),2)</f>
        <v>11.99</v>
      </c>
    </row>
    <row r="173" spans="1:8" ht="24" customHeight="1">
      <c r="A173" s="443" t="s">
        <v>4145</v>
      </c>
      <c r="B173" s="443" t="s">
        <v>4174</v>
      </c>
      <c r="C173" s="443" t="s">
        <v>4475</v>
      </c>
      <c r="D173" s="444" t="s">
        <v>4175</v>
      </c>
      <c r="E173" s="443" t="s">
        <v>2708</v>
      </c>
      <c r="F173" s="445">
        <v>0.2</v>
      </c>
      <c r="G173" s="446">
        <v>19.27</v>
      </c>
      <c r="H173" s="446">
        <f t="shared" ref="H173:H175" si="18">ROUND((F173*G173),2)</f>
        <v>3.85</v>
      </c>
    </row>
    <row r="174" spans="1:8" ht="24" customHeight="1">
      <c r="A174" s="443" t="s">
        <v>4145</v>
      </c>
      <c r="B174" s="443" t="s">
        <v>4158</v>
      </c>
      <c r="C174" s="443" t="s">
        <v>4475</v>
      </c>
      <c r="D174" s="444" t="s">
        <v>4159</v>
      </c>
      <c r="E174" s="443" t="s">
        <v>2708</v>
      </c>
      <c r="F174" s="445">
        <v>0.2</v>
      </c>
      <c r="G174" s="446">
        <v>13.02</v>
      </c>
      <c r="H174" s="446">
        <f t="shared" si="18"/>
        <v>2.6</v>
      </c>
    </row>
    <row r="175" spans="1:8" ht="24" customHeight="1">
      <c r="A175" s="443" t="s">
        <v>4145</v>
      </c>
      <c r="B175" s="443" t="s">
        <v>4407</v>
      </c>
      <c r="C175" s="443" t="s">
        <v>4144</v>
      </c>
      <c r="D175" s="444" t="s">
        <v>2573</v>
      </c>
      <c r="E175" s="443" t="s">
        <v>2489</v>
      </c>
      <c r="F175" s="445">
        <v>1</v>
      </c>
      <c r="G175" s="446">
        <v>5.54</v>
      </c>
      <c r="H175" s="446">
        <f t="shared" si="18"/>
        <v>5.54</v>
      </c>
    </row>
    <row r="176" spans="1:8" ht="14.4" customHeight="1">
      <c r="A176" s="581" t="s">
        <v>4474</v>
      </c>
      <c r="B176" s="581"/>
      <c r="C176" s="581"/>
      <c r="D176" s="581"/>
      <c r="E176" s="581"/>
      <c r="F176" s="581"/>
      <c r="G176" s="581"/>
      <c r="H176" s="462">
        <f>H172*1.2592</f>
        <v>15.097808000000001</v>
      </c>
    </row>
    <row r="177" spans="1:8">
      <c r="A177" s="576" t="s">
        <v>4150</v>
      </c>
      <c r="B177" s="576"/>
      <c r="C177" s="576"/>
      <c r="D177" s="576"/>
      <c r="E177" s="576"/>
      <c r="F177" s="576"/>
      <c r="G177" s="576"/>
      <c r="H177" s="576"/>
    </row>
    <row r="178" spans="1:8" ht="15" thickBot="1">
      <c r="A178" s="575" t="s">
        <v>4216</v>
      </c>
      <c r="B178" s="575"/>
      <c r="C178" s="575"/>
      <c r="D178" s="575"/>
      <c r="E178" s="575"/>
      <c r="F178" s="575"/>
      <c r="G178" s="575"/>
      <c r="H178" s="575"/>
    </row>
    <row r="179" spans="1:8" ht="15" thickTop="1">
      <c r="A179" s="403"/>
      <c r="B179" s="403"/>
      <c r="C179" s="403"/>
      <c r="D179" s="403"/>
      <c r="E179" s="403"/>
      <c r="F179" s="439"/>
      <c r="G179" s="439"/>
      <c r="H179" s="439"/>
    </row>
    <row r="180" spans="1:8">
      <c r="A180" s="463" t="s">
        <v>4217</v>
      </c>
      <c r="B180" s="463" t="s">
        <v>4137</v>
      </c>
      <c r="C180" s="463" t="s">
        <v>4138</v>
      </c>
      <c r="D180" s="468" t="s">
        <v>4139</v>
      </c>
      <c r="E180" s="463" t="s">
        <v>2723</v>
      </c>
      <c r="F180" s="463" t="s">
        <v>4140</v>
      </c>
      <c r="G180" s="463" t="s">
        <v>4141</v>
      </c>
      <c r="H180" s="463" t="s">
        <v>4142</v>
      </c>
    </row>
    <row r="181" spans="1:8" ht="25.95" customHeight="1">
      <c r="A181" s="451" t="s">
        <v>4143</v>
      </c>
      <c r="B181" s="451" t="s">
        <v>2578</v>
      </c>
      <c r="C181" s="451" t="s">
        <v>4144</v>
      </c>
      <c r="D181" s="452" t="s">
        <v>2577</v>
      </c>
      <c r="E181" s="451" t="s">
        <v>2489</v>
      </c>
      <c r="F181" s="453">
        <v>1</v>
      </c>
      <c r="G181" s="454">
        <v>55.22</v>
      </c>
      <c r="H181" s="450">
        <f>ROUND((SUM(H182:H184)),2)</f>
        <v>55.22</v>
      </c>
    </row>
    <row r="182" spans="1:8" ht="24" customHeight="1">
      <c r="A182" s="465" t="s">
        <v>4145</v>
      </c>
      <c r="B182" s="465" t="s">
        <v>4174</v>
      </c>
      <c r="C182" s="465" t="s">
        <v>4475</v>
      </c>
      <c r="D182" s="466" t="s">
        <v>4175</v>
      </c>
      <c r="E182" s="465" t="s">
        <v>2708</v>
      </c>
      <c r="F182" s="467">
        <v>0.2</v>
      </c>
      <c r="G182" s="460">
        <v>19.27</v>
      </c>
      <c r="H182" s="446">
        <f t="shared" ref="H182:H184" si="19">ROUND((F182*G182),2)</f>
        <v>3.85</v>
      </c>
    </row>
    <row r="183" spans="1:8" ht="24" customHeight="1">
      <c r="A183" s="465" t="s">
        <v>4145</v>
      </c>
      <c r="B183" s="465" t="s">
        <v>4158</v>
      </c>
      <c r="C183" s="465" t="s">
        <v>4475</v>
      </c>
      <c r="D183" s="466" t="s">
        <v>4159</v>
      </c>
      <c r="E183" s="465" t="s">
        <v>2708</v>
      </c>
      <c r="F183" s="467">
        <v>0.2</v>
      </c>
      <c r="G183" s="460">
        <v>13.02</v>
      </c>
      <c r="H183" s="446">
        <f t="shared" si="19"/>
        <v>2.6</v>
      </c>
    </row>
    <row r="184" spans="1:8" ht="24" customHeight="1">
      <c r="A184" s="465" t="s">
        <v>4145</v>
      </c>
      <c r="B184" s="465" t="s">
        <v>4408</v>
      </c>
      <c r="C184" s="465" t="s">
        <v>4144</v>
      </c>
      <c r="D184" s="466" t="s">
        <v>2546</v>
      </c>
      <c r="E184" s="465" t="s">
        <v>2489</v>
      </c>
      <c r="F184" s="467">
        <v>1</v>
      </c>
      <c r="G184" s="460">
        <v>48.77</v>
      </c>
      <c r="H184" s="446">
        <f t="shared" si="19"/>
        <v>48.77</v>
      </c>
    </row>
    <row r="185" spans="1:8" ht="14.4" customHeight="1">
      <c r="A185" s="560" t="s">
        <v>4474</v>
      </c>
      <c r="B185" s="560"/>
      <c r="C185" s="560"/>
      <c r="D185" s="560"/>
      <c r="E185" s="560"/>
      <c r="F185" s="560"/>
      <c r="G185" s="560"/>
      <c r="H185" s="462">
        <f>H181*1.2592</f>
        <v>69.533023999999997</v>
      </c>
    </row>
    <row r="186" spans="1:8">
      <c r="A186" s="576" t="s">
        <v>4150</v>
      </c>
      <c r="B186" s="576"/>
      <c r="C186" s="576"/>
      <c r="D186" s="576"/>
      <c r="E186" s="576"/>
      <c r="F186" s="576"/>
      <c r="G186" s="576"/>
      <c r="H186" s="576"/>
    </row>
    <row r="187" spans="1:8" ht="15" thickBot="1">
      <c r="A187" s="575" t="s">
        <v>4218</v>
      </c>
      <c r="B187" s="575"/>
      <c r="C187" s="575"/>
      <c r="D187" s="575"/>
      <c r="E187" s="575"/>
      <c r="F187" s="575"/>
      <c r="G187" s="575"/>
      <c r="H187" s="575"/>
    </row>
    <row r="188" spans="1:8" ht="15" thickTop="1">
      <c r="A188" s="403"/>
      <c r="B188" s="403"/>
      <c r="C188" s="403"/>
      <c r="D188" s="403"/>
      <c r="E188" s="403"/>
      <c r="F188" s="439"/>
      <c r="G188" s="439"/>
      <c r="H188" s="439"/>
    </row>
    <row r="189" spans="1:8">
      <c r="A189" s="456" t="s">
        <v>4219</v>
      </c>
      <c r="B189" s="457" t="s">
        <v>4137</v>
      </c>
      <c r="C189" s="456" t="s">
        <v>4138</v>
      </c>
      <c r="D189" s="456" t="s">
        <v>4139</v>
      </c>
      <c r="E189" s="441" t="s">
        <v>2723</v>
      </c>
      <c r="F189" s="441" t="s">
        <v>4140</v>
      </c>
      <c r="G189" s="441" t="s">
        <v>4141</v>
      </c>
      <c r="H189" s="441" t="s">
        <v>4142</v>
      </c>
    </row>
    <row r="190" spans="1:8" ht="25.95" customHeight="1">
      <c r="A190" s="447" t="s">
        <v>4143</v>
      </c>
      <c r="B190" s="447" t="s">
        <v>4409</v>
      </c>
      <c r="C190" s="447" t="s">
        <v>4144</v>
      </c>
      <c r="D190" s="448" t="s">
        <v>2582</v>
      </c>
      <c r="E190" s="447" t="s">
        <v>2489</v>
      </c>
      <c r="F190" s="449">
        <v>1</v>
      </c>
      <c r="G190" s="450">
        <v>5.16</v>
      </c>
      <c r="H190" s="450">
        <f>ROUND((SUM(H191:H193)),2)</f>
        <v>5.16</v>
      </c>
    </row>
    <row r="191" spans="1:8" ht="24" customHeight="1">
      <c r="A191" s="443" t="s">
        <v>4145</v>
      </c>
      <c r="B191" s="443" t="s">
        <v>4174</v>
      </c>
      <c r="C191" s="443" t="s">
        <v>4475</v>
      </c>
      <c r="D191" s="444" t="s">
        <v>4175</v>
      </c>
      <c r="E191" s="443" t="s">
        <v>2708</v>
      </c>
      <c r="F191" s="445">
        <v>0.1</v>
      </c>
      <c r="G191" s="446">
        <v>19.27</v>
      </c>
      <c r="H191" s="446">
        <f t="shared" ref="H191:H193" si="20">ROUND((F191*G191),2)</f>
        <v>1.93</v>
      </c>
    </row>
    <row r="192" spans="1:8" ht="24" customHeight="1">
      <c r="A192" s="443" t="s">
        <v>4145</v>
      </c>
      <c r="B192" s="443" t="s">
        <v>4158</v>
      </c>
      <c r="C192" s="443" t="s">
        <v>4475</v>
      </c>
      <c r="D192" s="444" t="s">
        <v>4159</v>
      </c>
      <c r="E192" s="443" t="s">
        <v>2708</v>
      </c>
      <c r="F192" s="445">
        <v>0.1</v>
      </c>
      <c r="G192" s="446">
        <v>13.02</v>
      </c>
      <c r="H192" s="446">
        <f t="shared" si="20"/>
        <v>1.3</v>
      </c>
    </row>
    <row r="193" spans="1:8" ht="24" customHeight="1">
      <c r="A193" s="443" t="s">
        <v>4145</v>
      </c>
      <c r="B193" s="443" t="s">
        <v>4410</v>
      </c>
      <c r="C193" s="443" t="s">
        <v>4144</v>
      </c>
      <c r="D193" s="444" t="s">
        <v>2551</v>
      </c>
      <c r="E193" s="443" t="s">
        <v>2489</v>
      </c>
      <c r="F193" s="445">
        <v>1</v>
      </c>
      <c r="G193" s="446">
        <v>1.93</v>
      </c>
      <c r="H193" s="446">
        <f t="shared" si="20"/>
        <v>1.93</v>
      </c>
    </row>
    <row r="194" spans="1:8" ht="14.4" customHeight="1">
      <c r="A194" s="560" t="s">
        <v>4474</v>
      </c>
      <c r="B194" s="560"/>
      <c r="C194" s="560"/>
      <c r="D194" s="560"/>
      <c r="E194" s="560"/>
      <c r="F194" s="560"/>
      <c r="G194" s="560"/>
      <c r="H194" s="462">
        <f>H190*1.2592</f>
        <v>6.497472000000001</v>
      </c>
    </row>
    <row r="195" spans="1:8">
      <c r="A195" s="576" t="s">
        <v>4150</v>
      </c>
      <c r="B195" s="576"/>
      <c r="C195" s="576"/>
      <c r="D195" s="576"/>
      <c r="E195" s="576"/>
      <c r="F195" s="576"/>
      <c r="G195" s="576"/>
      <c r="H195" s="576"/>
    </row>
    <row r="196" spans="1:8" ht="15" thickBot="1">
      <c r="A196" s="575" t="s">
        <v>4220</v>
      </c>
      <c r="B196" s="575"/>
      <c r="C196" s="575"/>
      <c r="D196" s="575"/>
      <c r="E196" s="575"/>
      <c r="F196" s="575"/>
      <c r="G196" s="575"/>
      <c r="H196" s="575"/>
    </row>
    <row r="197" spans="1:8" ht="15" thickTop="1">
      <c r="A197" s="403"/>
      <c r="B197" s="403"/>
      <c r="C197" s="403"/>
      <c r="D197" s="403"/>
      <c r="E197" s="403"/>
      <c r="F197" s="439"/>
      <c r="G197" s="439"/>
      <c r="H197" s="439"/>
    </row>
    <row r="198" spans="1:8">
      <c r="A198" s="441" t="s">
        <v>4221</v>
      </c>
      <c r="B198" s="441" t="s">
        <v>4137</v>
      </c>
      <c r="C198" s="441" t="s">
        <v>4138</v>
      </c>
      <c r="D198" s="456" t="s">
        <v>4139</v>
      </c>
      <c r="E198" s="441" t="s">
        <v>2723</v>
      </c>
      <c r="F198" s="441" t="s">
        <v>4140</v>
      </c>
      <c r="G198" s="441" t="s">
        <v>4141</v>
      </c>
      <c r="H198" s="441" t="s">
        <v>4142</v>
      </c>
    </row>
    <row r="199" spans="1:8" ht="25.95" customHeight="1">
      <c r="A199" s="447" t="s">
        <v>4143</v>
      </c>
      <c r="B199" s="447" t="s">
        <v>4411</v>
      </c>
      <c r="C199" s="447" t="s">
        <v>4144</v>
      </c>
      <c r="D199" s="461" t="s">
        <v>4222</v>
      </c>
      <c r="E199" s="447" t="s">
        <v>2489</v>
      </c>
      <c r="F199" s="449">
        <v>1</v>
      </c>
      <c r="G199" s="450">
        <v>166.05</v>
      </c>
      <c r="H199" s="450">
        <f>ROUND((SUM(H200:H202)),2)</f>
        <v>166.05</v>
      </c>
    </row>
    <row r="200" spans="1:8" ht="24" customHeight="1">
      <c r="A200" s="443" t="s">
        <v>4145</v>
      </c>
      <c r="B200" s="443" t="s">
        <v>4174</v>
      </c>
      <c r="C200" s="443" t="s">
        <v>4475</v>
      </c>
      <c r="D200" s="459" t="s">
        <v>4175</v>
      </c>
      <c r="E200" s="443" t="s">
        <v>2708</v>
      </c>
      <c r="F200" s="445">
        <v>0.5</v>
      </c>
      <c r="G200" s="446">
        <v>19.27</v>
      </c>
      <c r="H200" s="446">
        <f t="shared" ref="H200:H202" si="21">ROUND((F200*G200),2)</f>
        <v>9.64</v>
      </c>
    </row>
    <row r="201" spans="1:8" ht="24" customHeight="1">
      <c r="A201" s="443" t="s">
        <v>4145</v>
      </c>
      <c r="B201" s="443" t="s">
        <v>4158</v>
      </c>
      <c r="C201" s="443" t="s">
        <v>4475</v>
      </c>
      <c r="D201" s="459" t="s">
        <v>4159</v>
      </c>
      <c r="E201" s="443" t="s">
        <v>2708</v>
      </c>
      <c r="F201" s="445">
        <v>0.5</v>
      </c>
      <c r="G201" s="446">
        <v>13.02</v>
      </c>
      <c r="H201" s="446">
        <f t="shared" si="21"/>
        <v>6.51</v>
      </c>
    </row>
    <row r="202" spans="1:8" ht="24" customHeight="1">
      <c r="A202" s="443" t="s">
        <v>4145</v>
      </c>
      <c r="B202" s="443" t="s">
        <v>4412</v>
      </c>
      <c r="C202" s="443" t="s">
        <v>4144</v>
      </c>
      <c r="D202" s="459" t="s">
        <v>4223</v>
      </c>
      <c r="E202" s="443" t="s">
        <v>2489</v>
      </c>
      <c r="F202" s="445">
        <v>1</v>
      </c>
      <c r="G202" s="446">
        <v>149.9</v>
      </c>
      <c r="H202" s="446">
        <f t="shared" si="21"/>
        <v>149.9</v>
      </c>
    </row>
    <row r="203" spans="1:8" ht="14.4" customHeight="1">
      <c r="A203" s="560" t="s">
        <v>4474</v>
      </c>
      <c r="B203" s="560"/>
      <c r="C203" s="560"/>
      <c r="D203" s="560"/>
      <c r="E203" s="560"/>
      <c r="F203" s="560"/>
      <c r="G203" s="560"/>
      <c r="H203" s="462">
        <f>H199*1.2592</f>
        <v>209.09016000000003</v>
      </c>
    </row>
    <row r="204" spans="1:8">
      <c r="A204" s="576" t="s">
        <v>4150</v>
      </c>
      <c r="B204" s="576"/>
      <c r="C204" s="576"/>
      <c r="D204" s="576"/>
      <c r="E204" s="576"/>
      <c r="F204" s="576"/>
      <c r="G204" s="576"/>
      <c r="H204" s="576"/>
    </row>
    <row r="205" spans="1:8" ht="15" thickBot="1">
      <c r="A205" s="575" t="s">
        <v>4224</v>
      </c>
      <c r="B205" s="575"/>
      <c r="C205" s="575"/>
      <c r="D205" s="575"/>
      <c r="E205" s="575"/>
      <c r="F205" s="575"/>
      <c r="G205" s="575"/>
      <c r="H205" s="575"/>
    </row>
    <row r="206" spans="1:8" ht="15" thickTop="1">
      <c r="A206" s="403"/>
      <c r="B206" s="403"/>
      <c r="C206" s="403"/>
      <c r="D206" s="403"/>
      <c r="E206" s="403"/>
      <c r="F206" s="439"/>
      <c r="G206" s="439"/>
      <c r="H206" s="439"/>
    </row>
    <row r="207" spans="1:8">
      <c r="A207" s="441" t="s">
        <v>4225</v>
      </c>
      <c r="B207" s="441" t="s">
        <v>4137</v>
      </c>
      <c r="C207" s="441" t="s">
        <v>4138</v>
      </c>
      <c r="D207" s="456" t="s">
        <v>4139</v>
      </c>
      <c r="E207" s="441" t="s">
        <v>2723</v>
      </c>
      <c r="F207" s="441" t="s">
        <v>4140</v>
      </c>
      <c r="G207" s="441" t="s">
        <v>4141</v>
      </c>
      <c r="H207" s="441" t="s">
        <v>4142</v>
      </c>
    </row>
    <row r="208" spans="1:8" ht="39" customHeight="1">
      <c r="A208" s="447" t="s">
        <v>4143</v>
      </c>
      <c r="B208" s="447" t="s">
        <v>4413</v>
      </c>
      <c r="C208" s="447" t="s">
        <v>4144</v>
      </c>
      <c r="D208" s="461" t="s">
        <v>2665</v>
      </c>
      <c r="E208" s="447" t="s">
        <v>2489</v>
      </c>
      <c r="F208" s="449">
        <v>1</v>
      </c>
      <c r="G208" s="450">
        <v>322.89999999999998</v>
      </c>
      <c r="H208" s="450">
        <f>ROUND((SUM(H209:H211)),2)</f>
        <v>322.89999999999998</v>
      </c>
    </row>
    <row r="209" spans="1:8" ht="24" customHeight="1">
      <c r="A209" s="443" t="s">
        <v>4145</v>
      </c>
      <c r="B209" s="443" t="s">
        <v>4174</v>
      </c>
      <c r="C209" s="443" t="s">
        <v>4475</v>
      </c>
      <c r="D209" s="459" t="s">
        <v>4175</v>
      </c>
      <c r="E209" s="443" t="s">
        <v>2708</v>
      </c>
      <c r="F209" s="445">
        <v>2</v>
      </c>
      <c r="G209" s="446">
        <v>19.27</v>
      </c>
      <c r="H209" s="446">
        <f t="shared" ref="H209:H211" si="22">ROUND((F209*G209),2)</f>
        <v>38.54</v>
      </c>
    </row>
    <row r="210" spans="1:8" ht="24" customHeight="1">
      <c r="A210" s="443" t="s">
        <v>4145</v>
      </c>
      <c r="B210" s="443" t="s">
        <v>4158</v>
      </c>
      <c r="C210" s="443" t="s">
        <v>4475</v>
      </c>
      <c r="D210" s="459" t="s">
        <v>4159</v>
      </c>
      <c r="E210" s="443" t="s">
        <v>2708</v>
      </c>
      <c r="F210" s="445">
        <v>2</v>
      </c>
      <c r="G210" s="446">
        <v>13.02</v>
      </c>
      <c r="H210" s="446">
        <f t="shared" si="22"/>
        <v>26.04</v>
      </c>
    </row>
    <row r="211" spans="1:8" ht="25.95" customHeight="1">
      <c r="A211" s="443" t="s">
        <v>4145</v>
      </c>
      <c r="B211" s="443" t="s">
        <v>4414</v>
      </c>
      <c r="C211" s="443" t="s">
        <v>4144</v>
      </c>
      <c r="D211" s="459" t="s">
        <v>2586</v>
      </c>
      <c r="E211" s="443" t="s">
        <v>2489</v>
      </c>
      <c r="F211" s="445">
        <v>1</v>
      </c>
      <c r="G211" s="446">
        <v>258.32</v>
      </c>
      <c r="H211" s="446">
        <f t="shared" si="22"/>
        <v>258.32</v>
      </c>
    </row>
    <row r="212" spans="1:8" ht="14.4" customHeight="1">
      <c r="A212" s="578" t="s">
        <v>4474</v>
      </c>
      <c r="B212" s="579"/>
      <c r="C212" s="579"/>
      <c r="D212" s="579"/>
      <c r="E212" s="579"/>
      <c r="F212" s="579"/>
      <c r="G212" s="580"/>
      <c r="H212" s="462">
        <f>H208*1.2592</f>
        <v>406.59568000000002</v>
      </c>
    </row>
    <row r="213" spans="1:8">
      <c r="A213" s="576" t="s">
        <v>4150</v>
      </c>
      <c r="B213" s="576"/>
      <c r="C213" s="576"/>
      <c r="D213" s="576"/>
      <c r="E213" s="576"/>
      <c r="F213" s="576"/>
      <c r="G213" s="576"/>
      <c r="H213" s="576"/>
    </row>
    <row r="214" spans="1:8" ht="28.8" customHeight="1" thickBot="1">
      <c r="A214" s="575" t="s">
        <v>4226</v>
      </c>
      <c r="B214" s="575"/>
      <c r="C214" s="575"/>
      <c r="D214" s="575"/>
      <c r="E214" s="575"/>
      <c r="F214" s="575"/>
      <c r="G214" s="575"/>
      <c r="H214" s="575"/>
    </row>
    <row r="215" spans="1:8" ht="15" thickTop="1">
      <c r="A215" s="403"/>
      <c r="B215" s="403"/>
      <c r="C215" s="403"/>
      <c r="D215" s="403"/>
      <c r="E215" s="403"/>
      <c r="F215" s="439"/>
      <c r="G215" s="439"/>
      <c r="H215" s="439"/>
    </row>
    <row r="216" spans="1:8">
      <c r="A216" s="441" t="s">
        <v>4227</v>
      </c>
      <c r="B216" s="441" t="s">
        <v>4137</v>
      </c>
      <c r="C216" s="441" t="s">
        <v>4138</v>
      </c>
      <c r="D216" s="442" t="s">
        <v>4139</v>
      </c>
      <c r="E216" s="441" t="s">
        <v>2723</v>
      </c>
      <c r="F216" s="441" t="s">
        <v>4140</v>
      </c>
      <c r="G216" s="441" t="s">
        <v>4141</v>
      </c>
      <c r="H216" s="441" t="s">
        <v>4142</v>
      </c>
    </row>
    <row r="217" spans="1:8" ht="25.95" customHeight="1">
      <c r="A217" s="447" t="s">
        <v>4143</v>
      </c>
      <c r="B217" s="447" t="s">
        <v>4415</v>
      </c>
      <c r="C217" s="447" t="s">
        <v>4144</v>
      </c>
      <c r="D217" s="448" t="s">
        <v>2801</v>
      </c>
      <c r="E217" s="447" t="s">
        <v>2489</v>
      </c>
      <c r="F217" s="449">
        <v>1</v>
      </c>
      <c r="G217" s="450">
        <v>147.93</v>
      </c>
      <c r="H217" s="450">
        <f>ROUND((SUM(H218:H220)),2)</f>
        <v>147.93</v>
      </c>
    </row>
    <row r="218" spans="1:8" ht="24" customHeight="1">
      <c r="A218" s="443" t="s">
        <v>4145</v>
      </c>
      <c r="B218" s="443" t="s">
        <v>4158</v>
      </c>
      <c r="C218" s="443" t="s">
        <v>4475</v>
      </c>
      <c r="D218" s="444" t="s">
        <v>4159</v>
      </c>
      <c r="E218" s="443" t="s">
        <v>2708</v>
      </c>
      <c r="F218" s="445">
        <v>0.28999999999999998</v>
      </c>
      <c r="G218" s="446">
        <v>13.02</v>
      </c>
      <c r="H218" s="446">
        <f t="shared" ref="H218:H220" si="23">ROUND((F218*G218),2)</f>
        <v>3.78</v>
      </c>
    </row>
    <row r="219" spans="1:8" ht="24" customHeight="1">
      <c r="A219" s="443" t="s">
        <v>4145</v>
      </c>
      <c r="B219" s="443" t="s">
        <v>4174</v>
      </c>
      <c r="C219" s="443" t="s">
        <v>4475</v>
      </c>
      <c r="D219" s="444" t="s">
        <v>4175</v>
      </c>
      <c r="E219" s="443" t="s">
        <v>2708</v>
      </c>
      <c r="F219" s="445">
        <v>0.28999999999999998</v>
      </c>
      <c r="G219" s="446">
        <v>19.27</v>
      </c>
      <c r="H219" s="446">
        <f t="shared" si="23"/>
        <v>5.59</v>
      </c>
    </row>
    <row r="220" spans="1:8" ht="24" customHeight="1">
      <c r="A220" s="443" t="s">
        <v>4145</v>
      </c>
      <c r="B220" s="443" t="s">
        <v>4416</v>
      </c>
      <c r="C220" s="443" t="s">
        <v>4144</v>
      </c>
      <c r="D220" s="444" t="s">
        <v>2802</v>
      </c>
      <c r="E220" s="443" t="s">
        <v>2489</v>
      </c>
      <c r="F220" s="445">
        <v>1</v>
      </c>
      <c r="G220" s="446">
        <v>138.56</v>
      </c>
      <c r="H220" s="446">
        <f t="shared" si="23"/>
        <v>138.56</v>
      </c>
    </row>
    <row r="221" spans="1:8" ht="14.4" customHeight="1">
      <c r="A221" s="578" t="s">
        <v>4474</v>
      </c>
      <c r="B221" s="579"/>
      <c r="C221" s="579"/>
      <c r="D221" s="579"/>
      <c r="E221" s="579"/>
      <c r="F221" s="579"/>
      <c r="G221" s="580"/>
      <c r="H221" s="462">
        <f>H217*1.2592</f>
        <v>186.27345600000001</v>
      </c>
    </row>
    <row r="222" spans="1:8">
      <c r="A222" s="576" t="s">
        <v>4150</v>
      </c>
      <c r="B222" s="576"/>
      <c r="C222" s="576"/>
      <c r="D222" s="576"/>
      <c r="E222" s="576"/>
      <c r="F222" s="576"/>
      <c r="G222" s="576"/>
      <c r="H222" s="576"/>
    </row>
    <row r="223" spans="1:8" ht="15" thickBot="1">
      <c r="A223" s="575" t="s">
        <v>4228</v>
      </c>
      <c r="B223" s="575"/>
      <c r="C223" s="575"/>
      <c r="D223" s="575"/>
      <c r="E223" s="575"/>
      <c r="F223" s="575"/>
      <c r="G223" s="575"/>
      <c r="H223" s="575"/>
    </row>
    <row r="224" spans="1:8" ht="15" thickTop="1">
      <c r="A224" s="403"/>
      <c r="B224" s="403"/>
      <c r="C224" s="403"/>
      <c r="D224" s="403"/>
      <c r="E224" s="403"/>
      <c r="F224" s="439"/>
      <c r="G224" s="439"/>
      <c r="H224" s="439"/>
    </row>
    <row r="225" spans="1:8">
      <c r="A225" s="441" t="s">
        <v>4229</v>
      </c>
      <c r="B225" s="441" t="s">
        <v>4137</v>
      </c>
      <c r="C225" s="441" t="s">
        <v>4138</v>
      </c>
      <c r="D225" s="442" t="s">
        <v>4139</v>
      </c>
      <c r="E225" s="441" t="s">
        <v>2723</v>
      </c>
      <c r="F225" s="441" t="s">
        <v>4140</v>
      </c>
      <c r="G225" s="441" t="s">
        <v>4141</v>
      </c>
      <c r="H225" s="441" t="s">
        <v>4142</v>
      </c>
    </row>
    <row r="226" spans="1:8" ht="24" customHeight="1">
      <c r="A226" s="447" t="s">
        <v>4143</v>
      </c>
      <c r="B226" s="447" t="s">
        <v>4417</v>
      </c>
      <c r="C226" s="447" t="s">
        <v>4144</v>
      </c>
      <c r="D226" s="448" t="s">
        <v>3611</v>
      </c>
      <c r="E226" s="447" t="s">
        <v>2489</v>
      </c>
      <c r="F226" s="449">
        <v>1</v>
      </c>
      <c r="G226" s="450">
        <v>108.49</v>
      </c>
      <c r="H226" s="450">
        <f>ROUND((SUM(H227:H229)),2)</f>
        <v>108.85</v>
      </c>
    </row>
    <row r="227" spans="1:8" ht="24" customHeight="1">
      <c r="A227" s="443" t="s">
        <v>4145</v>
      </c>
      <c r="B227" s="443" t="s">
        <v>4174</v>
      </c>
      <c r="C227" s="443" t="s">
        <v>4475</v>
      </c>
      <c r="D227" s="444" t="s">
        <v>4175</v>
      </c>
      <c r="E227" s="443" t="s">
        <v>2708</v>
      </c>
      <c r="F227" s="445">
        <v>0.49</v>
      </c>
      <c r="G227" s="446">
        <v>19.27</v>
      </c>
      <c r="H227" s="446">
        <f t="shared" ref="H227:H229" si="24">ROUND((F227*G227),2)</f>
        <v>9.44</v>
      </c>
    </row>
    <row r="228" spans="1:8" ht="24" customHeight="1">
      <c r="A228" s="443" t="s">
        <v>4145</v>
      </c>
      <c r="B228" s="443" t="s">
        <v>4158</v>
      </c>
      <c r="C228" s="443" t="s">
        <v>4475</v>
      </c>
      <c r="D228" s="444" t="s">
        <v>4159</v>
      </c>
      <c r="E228" s="443" t="s">
        <v>2708</v>
      </c>
      <c r="F228" s="445">
        <v>0.49</v>
      </c>
      <c r="G228" s="446">
        <v>13.02</v>
      </c>
      <c r="H228" s="446">
        <f t="shared" si="24"/>
        <v>6.38</v>
      </c>
    </row>
    <row r="229" spans="1:8" ht="24" customHeight="1">
      <c r="A229" s="443" t="s">
        <v>4145</v>
      </c>
      <c r="B229" s="443" t="s">
        <v>4418</v>
      </c>
      <c r="C229" s="443" t="s">
        <v>4144</v>
      </c>
      <c r="D229" s="444" t="s">
        <v>3023</v>
      </c>
      <c r="E229" s="443" t="s">
        <v>2477</v>
      </c>
      <c r="F229" s="445">
        <v>1</v>
      </c>
      <c r="G229" s="446">
        <v>93.03</v>
      </c>
      <c r="H229" s="446">
        <f t="shared" si="24"/>
        <v>93.03</v>
      </c>
    </row>
    <row r="230" spans="1:8" ht="14.4" customHeight="1">
      <c r="A230" s="578" t="s">
        <v>4474</v>
      </c>
      <c r="B230" s="579"/>
      <c r="C230" s="579"/>
      <c r="D230" s="579"/>
      <c r="E230" s="579"/>
      <c r="F230" s="579"/>
      <c r="G230" s="580"/>
      <c r="H230" s="462">
        <f>H226*1.2592</f>
        <v>137.06392</v>
      </c>
    </row>
    <row r="231" spans="1:8">
      <c r="A231" s="576" t="s">
        <v>4150</v>
      </c>
      <c r="B231" s="576"/>
      <c r="C231" s="576"/>
      <c r="D231" s="576"/>
      <c r="E231" s="576"/>
      <c r="F231" s="576"/>
      <c r="G231" s="576"/>
      <c r="H231" s="576"/>
    </row>
    <row r="232" spans="1:8" ht="15" thickBot="1">
      <c r="A232" s="575" t="s">
        <v>4231</v>
      </c>
      <c r="B232" s="575"/>
      <c r="C232" s="575"/>
      <c r="D232" s="575"/>
      <c r="E232" s="575"/>
      <c r="F232" s="575"/>
      <c r="G232" s="575"/>
      <c r="H232" s="575"/>
    </row>
    <row r="233" spans="1:8" ht="15" thickTop="1">
      <c r="A233" s="403"/>
      <c r="B233" s="403"/>
      <c r="C233" s="403"/>
      <c r="D233" s="403"/>
      <c r="E233" s="403"/>
      <c r="F233" s="439"/>
      <c r="G233" s="439"/>
      <c r="H233" s="439"/>
    </row>
    <row r="234" spans="1:8">
      <c r="A234" s="441" t="s">
        <v>4232</v>
      </c>
      <c r="B234" s="441" t="s">
        <v>4137</v>
      </c>
      <c r="C234" s="441" t="s">
        <v>4138</v>
      </c>
      <c r="D234" s="442" t="s">
        <v>4139</v>
      </c>
      <c r="E234" s="441" t="s">
        <v>2723</v>
      </c>
      <c r="F234" s="441" t="s">
        <v>4140</v>
      </c>
      <c r="G234" s="441" t="s">
        <v>4141</v>
      </c>
      <c r="H234" s="441" t="s">
        <v>4142</v>
      </c>
    </row>
    <row r="235" spans="1:8" ht="25.95" customHeight="1">
      <c r="A235" s="447" t="s">
        <v>4143</v>
      </c>
      <c r="B235" s="447" t="s">
        <v>4419</v>
      </c>
      <c r="C235" s="447" t="s">
        <v>4144</v>
      </c>
      <c r="D235" s="448" t="s">
        <v>3273</v>
      </c>
      <c r="E235" s="447" t="s">
        <v>2489</v>
      </c>
      <c r="F235" s="449">
        <v>1</v>
      </c>
      <c r="G235" s="450">
        <v>125.23</v>
      </c>
      <c r="H235" s="450">
        <f>ROUND((SUM(H236:H238)),2)</f>
        <v>125.23</v>
      </c>
    </row>
    <row r="236" spans="1:8" ht="24" customHeight="1">
      <c r="A236" s="443" t="s">
        <v>4145</v>
      </c>
      <c r="B236" s="443" t="s">
        <v>4233</v>
      </c>
      <c r="C236" s="443" t="s">
        <v>4475</v>
      </c>
      <c r="D236" s="444" t="s">
        <v>4234</v>
      </c>
      <c r="E236" s="443" t="s">
        <v>2708</v>
      </c>
      <c r="F236" s="445">
        <v>1</v>
      </c>
      <c r="G236" s="446">
        <v>19.27</v>
      </c>
      <c r="H236" s="446">
        <f t="shared" ref="H236:H238" si="25">ROUND((F236*G236),2)</f>
        <v>19.27</v>
      </c>
    </row>
    <row r="237" spans="1:8" ht="24" customHeight="1">
      <c r="A237" s="443" t="s">
        <v>4145</v>
      </c>
      <c r="B237" s="443" t="s">
        <v>4158</v>
      </c>
      <c r="C237" s="443" t="s">
        <v>4475</v>
      </c>
      <c r="D237" s="444" t="s">
        <v>4159</v>
      </c>
      <c r="E237" s="443" t="s">
        <v>2708</v>
      </c>
      <c r="F237" s="445">
        <v>1</v>
      </c>
      <c r="G237" s="446">
        <v>13.02</v>
      </c>
      <c r="H237" s="446">
        <f t="shared" si="25"/>
        <v>13.02</v>
      </c>
    </row>
    <row r="238" spans="1:8" ht="24" customHeight="1">
      <c r="A238" s="443" t="s">
        <v>4145</v>
      </c>
      <c r="B238" s="443" t="s">
        <v>4420</v>
      </c>
      <c r="C238" s="443" t="s">
        <v>4144</v>
      </c>
      <c r="D238" s="444" t="s">
        <v>3474</v>
      </c>
      <c r="E238" s="443" t="s">
        <v>2477</v>
      </c>
      <c r="F238" s="445">
        <v>1</v>
      </c>
      <c r="G238" s="446">
        <v>92.94</v>
      </c>
      <c r="H238" s="446">
        <f t="shared" si="25"/>
        <v>92.94</v>
      </c>
    </row>
    <row r="239" spans="1:8" ht="14.4" customHeight="1">
      <c r="A239" s="578" t="s">
        <v>4474</v>
      </c>
      <c r="B239" s="579"/>
      <c r="C239" s="579"/>
      <c r="D239" s="579"/>
      <c r="E239" s="579"/>
      <c r="F239" s="579"/>
      <c r="G239" s="580"/>
      <c r="H239" s="462">
        <f>H235*1.2592</f>
        <v>157.68961600000003</v>
      </c>
    </row>
    <row r="240" spans="1:8">
      <c r="A240" s="576" t="s">
        <v>4150</v>
      </c>
      <c r="B240" s="576"/>
      <c r="C240" s="576"/>
      <c r="D240" s="576"/>
      <c r="E240" s="576"/>
      <c r="F240" s="576"/>
      <c r="G240" s="576"/>
      <c r="H240" s="576"/>
    </row>
    <row r="241" spans="1:8" ht="15" thickBot="1">
      <c r="A241" s="575" t="s">
        <v>4235</v>
      </c>
      <c r="B241" s="575"/>
      <c r="C241" s="575"/>
      <c r="D241" s="575"/>
      <c r="E241" s="575"/>
      <c r="F241" s="575"/>
      <c r="G241" s="575"/>
      <c r="H241" s="575"/>
    </row>
    <row r="242" spans="1:8" ht="15" thickTop="1">
      <c r="A242" s="403"/>
      <c r="B242" s="403"/>
      <c r="C242" s="403"/>
      <c r="D242" s="403"/>
      <c r="E242" s="403"/>
      <c r="F242" s="439"/>
      <c r="G242" s="439"/>
      <c r="H242" s="439"/>
    </row>
    <row r="243" spans="1:8">
      <c r="A243" s="441" t="s">
        <v>4236</v>
      </c>
      <c r="B243" s="441" t="s">
        <v>4137</v>
      </c>
      <c r="C243" s="441" t="s">
        <v>4138</v>
      </c>
      <c r="D243" s="442" t="s">
        <v>4139</v>
      </c>
      <c r="E243" s="441" t="s">
        <v>2723</v>
      </c>
      <c r="F243" s="441" t="s">
        <v>4140</v>
      </c>
      <c r="G243" s="441" t="s">
        <v>4141</v>
      </c>
      <c r="H243" s="441" t="s">
        <v>4142</v>
      </c>
    </row>
    <row r="244" spans="1:8" ht="25.95" customHeight="1">
      <c r="A244" s="447" t="s">
        <v>4143</v>
      </c>
      <c r="B244" s="447" t="s">
        <v>4421</v>
      </c>
      <c r="C244" s="447" t="s">
        <v>4144</v>
      </c>
      <c r="D244" s="448" t="s">
        <v>3291</v>
      </c>
      <c r="E244" s="447" t="s">
        <v>2489</v>
      </c>
      <c r="F244" s="449">
        <v>1</v>
      </c>
      <c r="G244" s="450">
        <v>103.56</v>
      </c>
      <c r="H244" s="450">
        <f>ROUND((SUM(H245:H247)),2)</f>
        <v>103.56</v>
      </c>
    </row>
    <row r="245" spans="1:8" ht="24" customHeight="1">
      <c r="A245" s="443" t="s">
        <v>4145</v>
      </c>
      <c r="B245" s="443" t="s">
        <v>4233</v>
      </c>
      <c r="C245" s="443" t="s">
        <v>4475</v>
      </c>
      <c r="D245" s="444" t="s">
        <v>4234</v>
      </c>
      <c r="E245" s="443" t="s">
        <v>2708</v>
      </c>
      <c r="F245" s="445">
        <v>0.31619999999999998</v>
      </c>
      <c r="G245" s="446">
        <v>19.27</v>
      </c>
      <c r="H245" s="446">
        <f t="shared" ref="H245:H247" si="26">ROUND((F245*G245),2)</f>
        <v>6.09</v>
      </c>
    </row>
    <row r="246" spans="1:8" ht="24" customHeight="1">
      <c r="A246" s="443" t="s">
        <v>4145</v>
      </c>
      <c r="B246" s="443" t="s">
        <v>4148</v>
      </c>
      <c r="C246" s="443" t="s">
        <v>4475</v>
      </c>
      <c r="D246" s="444" t="s">
        <v>4149</v>
      </c>
      <c r="E246" s="443" t="s">
        <v>2708</v>
      </c>
      <c r="F246" s="445">
        <v>9.9599999999999994E-2</v>
      </c>
      <c r="G246" s="446">
        <v>11.53</v>
      </c>
      <c r="H246" s="446">
        <f t="shared" si="26"/>
        <v>1.1499999999999999</v>
      </c>
    </row>
    <row r="247" spans="1:8" ht="25.95" customHeight="1">
      <c r="A247" s="443" t="s">
        <v>4145</v>
      </c>
      <c r="B247" s="443" t="s">
        <v>4237</v>
      </c>
      <c r="C247" s="443" t="s">
        <v>4155</v>
      </c>
      <c r="D247" s="444" t="s">
        <v>4238</v>
      </c>
      <c r="E247" s="443" t="s">
        <v>2477</v>
      </c>
      <c r="F247" s="445">
        <v>1</v>
      </c>
      <c r="G247" s="446">
        <v>96.32</v>
      </c>
      <c r="H247" s="446">
        <f t="shared" si="26"/>
        <v>96.32</v>
      </c>
    </row>
    <row r="248" spans="1:8" ht="14.4" customHeight="1">
      <c r="A248" s="578" t="s">
        <v>4474</v>
      </c>
      <c r="B248" s="579"/>
      <c r="C248" s="579"/>
      <c r="D248" s="579"/>
      <c r="E248" s="579"/>
      <c r="F248" s="579"/>
      <c r="G248" s="580"/>
      <c r="H248" s="462">
        <f>H244*1.2592</f>
        <v>130.40275200000002</v>
      </c>
    </row>
    <row r="249" spans="1:8">
      <c r="A249" s="576" t="s">
        <v>4150</v>
      </c>
      <c r="B249" s="576"/>
      <c r="C249" s="576"/>
      <c r="D249" s="576"/>
      <c r="E249" s="576"/>
      <c r="F249" s="576"/>
      <c r="G249" s="576"/>
      <c r="H249" s="576"/>
    </row>
    <row r="250" spans="1:8" ht="15" thickBot="1">
      <c r="A250" s="575" t="s">
        <v>4239</v>
      </c>
      <c r="B250" s="575"/>
      <c r="C250" s="575"/>
      <c r="D250" s="575"/>
      <c r="E250" s="575"/>
      <c r="F250" s="575"/>
      <c r="G250" s="575"/>
      <c r="H250" s="575"/>
    </row>
    <row r="251" spans="1:8" ht="15" thickTop="1">
      <c r="A251" s="403"/>
      <c r="B251" s="403"/>
      <c r="C251" s="403"/>
      <c r="D251" s="403"/>
      <c r="E251" s="403"/>
      <c r="F251" s="439"/>
      <c r="G251" s="439"/>
      <c r="H251" s="439"/>
    </row>
    <row r="252" spans="1:8">
      <c r="A252" s="441" t="s">
        <v>4240</v>
      </c>
      <c r="B252" s="441" t="s">
        <v>4137</v>
      </c>
      <c r="C252" s="441" t="s">
        <v>4138</v>
      </c>
      <c r="D252" s="442" t="s">
        <v>4139</v>
      </c>
      <c r="E252" s="441" t="s">
        <v>2723</v>
      </c>
      <c r="F252" s="441" t="s">
        <v>4140</v>
      </c>
      <c r="G252" s="441" t="s">
        <v>4141</v>
      </c>
      <c r="H252" s="441" t="s">
        <v>4142</v>
      </c>
    </row>
    <row r="253" spans="1:8" ht="24" customHeight="1">
      <c r="A253" s="447" t="s">
        <v>4143</v>
      </c>
      <c r="B253" s="447" t="s">
        <v>4422</v>
      </c>
      <c r="C253" s="447" t="s">
        <v>4144</v>
      </c>
      <c r="D253" s="448" t="s">
        <v>2896</v>
      </c>
      <c r="E253" s="447" t="s">
        <v>2489</v>
      </c>
      <c r="F253" s="449">
        <v>1</v>
      </c>
      <c r="G253" s="450">
        <v>27.76</v>
      </c>
      <c r="H253" s="450">
        <f>ROUND((SUM(H254:H256)),2)</f>
        <v>27.76</v>
      </c>
    </row>
    <row r="254" spans="1:8" ht="24" customHeight="1">
      <c r="A254" s="443" t="s">
        <v>4145</v>
      </c>
      <c r="B254" s="443" t="s">
        <v>4158</v>
      </c>
      <c r="C254" s="443" t="s">
        <v>4475</v>
      </c>
      <c r="D254" s="444" t="s">
        <v>4159</v>
      </c>
      <c r="E254" s="443" t="s">
        <v>2708</v>
      </c>
      <c r="F254" s="445">
        <v>0.54</v>
      </c>
      <c r="G254" s="446">
        <v>13.02</v>
      </c>
      <c r="H254" s="446">
        <f t="shared" ref="H254:H256" si="27">ROUND((F254*G254),2)</f>
        <v>7.03</v>
      </c>
    </row>
    <row r="255" spans="1:8" ht="24" customHeight="1">
      <c r="A255" s="443" t="s">
        <v>4145</v>
      </c>
      <c r="B255" s="443" t="s">
        <v>4233</v>
      </c>
      <c r="C255" s="443" t="s">
        <v>4475</v>
      </c>
      <c r="D255" s="444" t="s">
        <v>4234</v>
      </c>
      <c r="E255" s="443" t="s">
        <v>2708</v>
      </c>
      <c r="F255" s="445">
        <v>0.54</v>
      </c>
      <c r="G255" s="446">
        <v>19.27</v>
      </c>
      <c r="H255" s="446">
        <f t="shared" si="27"/>
        <v>10.41</v>
      </c>
    </row>
    <row r="256" spans="1:8" ht="24" customHeight="1">
      <c r="A256" s="443" t="s">
        <v>4145</v>
      </c>
      <c r="B256" s="443" t="s">
        <v>4423</v>
      </c>
      <c r="C256" s="443" t="s">
        <v>4144</v>
      </c>
      <c r="D256" s="444" t="s">
        <v>2903</v>
      </c>
      <c r="E256" s="443" t="s">
        <v>2477</v>
      </c>
      <c r="F256" s="445">
        <v>1</v>
      </c>
      <c r="G256" s="446">
        <v>10.32</v>
      </c>
      <c r="H256" s="446">
        <f t="shared" si="27"/>
        <v>10.32</v>
      </c>
    </row>
    <row r="257" spans="1:8" ht="14.4" customHeight="1">
      <c r="A257" s="578" t="s">
        <v>4474</v>
      </c>
      <c r="B257" s="579"/>
      <c r="C257" s="579"/>
      <c r="D257" s="579"/>
      <c r="E257" s="579"/>
      <c r="F257" s="579"/>
      <c r="G257" s="580"/>
      <c r="H257" s="462">
        <f>H253*1.2592</f>
        <v>34.955392000000003</v>
      </c>
    </row>
    <row r="258" spans="1:8">
      <c r="A258" s="576" t="s">
        <v>4150</v>
      </c>
      <c r="B258" s="576"/>
      <c r="C258" s="576"/>
      <c r="D258" s="576"/>
      <c r="E258" s="576"/>
      <c r="F258" s="576"/>
      <c r="G258" s="576"/>
      <c r="H258" s="576"/>
    </row>
    <row r="259" spans="1:8" ht="15" thickBot="1">
      <c r="A259" s="575" t="s">
        <v>4241</v>
      </c>
      <c r="B259" s="575"/>
      <c r="C259" s="575"/>
      <c r="D259" s="575"/>
      <c r="E259" s="575"/>
      <c r="F259" s="575"/>
      <c r="G259" s="575"/>
      <c r="H259" s="575"/>
    </row>
    <row r="260" spans="1:8" ht="15" thickTop="1">
      <c r="A260" s="403"/>
      <c r="B260" s="403"/>
      <c r="C260" s="403"/>
      <c r="D260" s="403"/>
      <c r="E260" s="403"/>
      <c r="F260" s="439"/>
      <c r="G260" s="439"/>
      <c r="H260" s="439"/>
    </row>
    <row r="261" spans="1:8">
      <c r="A261" s="441" t="s">
        <v>4242</v>
      </c>
      <c r="B261" s="441" t="s">
        <v>4137</v>
      </c>
      <c r="C261" s="441" t="s">
        <v>4138</v>
      </c>
      <c r="D261" s="442" t="s">
        <v>4139</v>
      </c>
      <c r="E261" s="441" t="s">
        <v>2723</v>
      </c>
      <c r="F261" s="441" t="s">
        <v>4140</v>
      </c>
      <c r="G261" s="441" t="s">
        <v>4141</v>
      </c>
      <c r="H261" s="441" t="s">
        <v>4142</v>
      </c>
    </row>
    <row r="262" spans="1:8" ht="24" customHeight="1">
      <c r="A262" s="447" t="s">
        <v>4143</v>
      </c>
      <c r="B262" s="447" t="s">
        <v>4424</v>
      </c>
      <c r="C262" s="447" t="s">
        <v>4144</v>
      </c>
      <c r="D262" s="448" t="s">
        <v>4243</v>
      </c>
      <c r="E262" s="447" t="s">
        <v>2489</v>
      </c>
      <c r="F262" s="449">
        <v>1</v>
      </c>
      <c r="G262" s="450">
        <v>4.7300000000000004</v>
      </c>
      <c r="H262" s="450">
        <f>ROUND((SUM(H263:H265)),2)</f>
        <v>4.7300000000000004</v>
      </c>
    </row>
    <row r="263" spans="1:8" ht="24" customHeight="1">
      <c r="A263" s="443" t="s">
        <v>4145</v>
      </c>
      <c r="B263" s="443" t="s">
        <v>4158</v>
      </c>
      <c r="C263" s="443" t="s">
        <v>4475</v>
      </c>
      <c r="D263" s="444" t="s">
        <v>4159</v>
      </c>
      <c r="E263" s="443" t="s">
        <v>2708</v>
      </c>
      <c r="F263" s="445">
        <v>0.09</v>
      </c>
      <c r="G263" s="446">
        <v>13.02</v>
      </c>
      <c r="H263" s="446">
        <f t="shared" ref="H263:H265" si="28">ROUND((F263*G263),2)</f>
        <v>1.17</v>
      </c>
    </row>
    <row r="264" spans="1:8" ht="24" customHeight="1">
      <c r="A264" s="443" t="s">
        <v>4145</v>
      </c>
      <c r="B264" s="443" t="s">
        <v>4233</v>
      </c>
      <c r="C264" s="443" t="s">
        <v>4475</v>
      </c>
      <c r="D264" s="444" t="s">
        <v>4234</v>
      </c>
      <c r="E264" s="443" t="s">
        <v>2708</v>
      </c>
      <c r="F264" s="445">
        <v>0.09</v>
      </c>
      <c r="G264" s="446">
        <v>19.27</v>
      </c>
      <c r="H264" s="446">
        <f t="shared" si="28"/>
        <v>1.73</v>
      </c>
    </row>
    <row r="265" spans="1:8" ht="24" customHeight="1">
      <c r="A265" s="443" t="s">
        <v>4145</v>
      </c>
      <c r="B265" s="443" t="s">
        <v>4425</v>
      </c>
      <c r="C265" s="443" t="s">
        <v>4144</v>
      </c>
      <c r="D265" s="444" t="s">
        <v>4244</v>
      </c>
      <c r="E265" s="443" t="s">
        <v>2477</v>
      </c>
      <c r="F265" s="445">
        <v>1</v>
      </c>
      <c r="G265" s="446">
        <v>1.83</v>
      </c>
      <c r="H265" s="446">
        <f t="shared" si="28"/>
        <v>1.83</v>
      </c>
    </row>
    <row r="266" spans="1:8" ht="14.4" customHeight="1">
      <c r="A266" s="578" t="s">
        <v>4474</v>
      </c>
      <c r="B266" s="579"/>
      <c r="C266" s="579"/>
      <c r="D266" s="579"/>
      <c r="E266" s="579"/>
      <c r="F266" s="579"/>
      <c r="G266" s="580"/>
      <c r="H266" s="462">
        <f>H262*1.2592</f>
        <v>5.9560160000000009</v>
      </c>
    </row>
    <row r="267" spans="1:8">
      <c r="A267" s="576" t="s">
        <v>4150</v>
      </c>
      <c r="B267" s="576"/>
      <c r="C267" s="576"/>
      <c r="D267" s="576"/>
      <c r="E267" s="576"/>
      <c r="F267" s="576"/>
      <c r="G267" s="576"/>
      <c r="H267" s="576"/>
    </row>
    <row r="268" spans="1:8" ht="15" thickBot="1">
      <c r="A268" s="575" t="s">
        <v>4245</v>
      </c>
      <c r="B268" s="575"/>
      <c r="C268" s="575"/>
      <c r="D268" s="575"/>
      <c r="E268" s="575"/>
      <c r="F268" s="575"/>
      <c r="G268" s="575"/>
      <c r="H268" s="575"/>
    </row>
    <row r="269" spans="1:8" ht="15" thickTop="1">
      <c r="A269" s="403"/>
      <c r="B269" s="403"/>
      <c r="C269" s="403"/>
      <c r="D269" s="403"/>
      <c r="E269" s="403"/>
      <c r="F269" s="439"/>
      <c r="G269" s="439"/>
      <c r="H269" s="439"/>
    </row>
    <row r="270" spans="1:8">
      <c r="A270" s="441" t="s">
        <v>4246</v>
      </c>
      <c r="B270" s="441" t="s">
        <v>4137</v>
      </c>
      <c r="C270" s="441" t="s">
        <v>4138</v>
      </c>
      <c r="D270" s="442" t="s">
        <v>4139</v>
      </c>
      <c r="E270" s="441" t="s">
        <v>2723</v>
      </c>
      <c r="F270" s="441" t="s">
        <v>4140</v>
      </c>
      <c r="G270" s="441" t="s">
        <v>4141</v>
      </c>
      <c r="H270" s="441" t="s">
        <v>4142</v>
      </c>
    </row>
    <row r="271" spans="1:8" ht="24" customHeight="1">
      <c r="A271" s="447" t="s">
        <v>4143</v>
      </c>
      <c r="B271" s="447" t="s">
        <v>4426</v>
      </c>
      <c r="C271" s="447" t="s">
        <v>4144</v>
      </c>
      <c r="D271" s="448" t="s">
        <v>2905</v>
      </c>
      <c r="E271" s="447" t="s">
        <v>2489</v>
      </c>
      <c r="F271" s="449">
        <v>1</v>
      </c>
      <c r="G271" s="450">
        <v>4.4400000000000004</v>
      </c>
      <c r="H271" s="450">
        <f>ROUND((SUM(H272:H274)),2)</f>
        <v>4.4400000000000004</v>
      </c>
    </row>
    <row r="272" spans="1:8" ht="24" customHeight="1">
      <c r="A272" s="443" t="s">
        <v>4145</v>
      </c>
      <c r="B272" s="443" t="s">
        <v>4158</v>
      </c>
      <c r="C272" s="443" t="s">
        <v>4475</v>
      </c>
      <c r="D272" s="444" t="s">
        <v>4159</v>
      </c>
      <c r="E272" s="443" t="s">
        <v>2708</v>
      </c>
      <c r="F272" s="445">
        <v>0.09</v>
      </c>
      <c r="G272" s="446">
        <v>13.02</v>
      </c>
      <c r="H272" s="446">
        <f t="shared" ref="H272:H274" si="29">ROUND((F272*G272),2)</f>
        <v>1.17</v>
      </c>
    </row>
    <row r="273" spans="1:8" ht="24" customHeight="1">
      <c r="A273" s="443" t="s">
        <v>4145</v>
      </c>
      <c r="B273" s="443" t="s">
        <v>4233</v>
      </c>
      <c r="C273" s="443" t="s">
        <v>4475</v>
      </c>
      <c r="D273" s="444" t="s">
        <v>4234</v>
      </c>
      <c r="E273" s="443" t="s">
        <v>2708</v>
      </c>
      <c r="F273" s="445">
        <v>0.09</v>
      </c>
      <c r="G273" s="446">
        <v>19.27</v>
      </c>
      <c r="H273" s="446">
        <f t="shared" si="29"/>
        <v>1.73</v>
      </c>
    </row>
    <row r="274" spans="1:8" ht="24" customHeight="1">
      <c r="A274" s="443" t="s">
        <v>4145</v>
      </c>
      <c r="B274" s="443" t="s">
        <v>4427</v>
      </c>
      <c r="C274" s="443" t="s">
        <v>4144</v>
      </c>
      <c r="D274" s="444" t="s">
        <v>2907</v>
      </c>
      <c r="E274" s="443" t="s">
        <v>2477</v>
      </c>
      <c r="F274" s="445">
        <v>1</v>
      </c>
      <c r="G274" s="446">
        <v>1.54</v>
      </c>
      <c r="H274" s="446">
        <f t="shared" si="29"/>
        <v>1.54</v>
      </c>
    </row>
    <row r="275" spans="1:8" ht="14.4" customHeight="1">
      <c r="A275" s="578" t="s">
        <v>4474</v>
      </c>
      <c r="B275" s="579"/>
      <c r="C275" s="579"/>
      <c r="D275" s="579"/>
      <c r="E275" s="579"/>
      <c r="F275" s="579"/>
      <c r="G275" s="580"/>
      <c r="H275" s="462">
        <f>H271*1.2592</f>
        <v>5.5908480000000012</v>
      </c>
    </row>
    <row r="276" spans="1:8">
      <c r="A276" s="576" t="s">
        <v>4150</v>
      </c>
      <c r="B276" s="576"/>
      <c r="C276" s="576"/>
      <c r="D276" s="576"/>
      <c r="E276" s="576"/>
      <c r="F276" s="576"/>
      <c r="G276" s="576"/>
      <c r="H276" s="576"/>
    </row>
    <row r="277" spans="1:8" ht="15" thickBot="1">
      <c r="A277" s="575" t="s">
        <v>4245</v>
      </c>
      <c r="B277" s="575"/>
      <c r="C277" s="575"/>
      <c r="D277" s="575"/>
      <c r="E277" s="575"/>
      <c r="F277" s="575"/>
      <c r="G277" s="575"/>
      <c r="H277" s="575"/>
    </row>
    <row r="278" spans="1:8" ht="15" thickTop="1">
      <c r="A278" s="403"/>
      <c r="B278" s="403"/>
      <c r="C278" s="403"/>
      <c r="D278" s="403"/>
      <c r="E278" s="403"/>
      <c r="F278" s="439"/>
      <c r="G278" s="439"/>
      <c r="H278" s="439"/>
    </row>
    <row r="279" spans="1:8">
      <c r="A279" s="441" t="s">
        <v>4247</v>
      </c>
      <c r="B279" s="441" t="s">
        <v>4137</v>
      </c>
      <c r="C279" s="441" t="s">
        <v>4138</v>
      </c>
      <c r="D279" s="442" t="s">
        <v>4139</v>
      </c>
      <c r="E279" s="441" t="s">
        <v>2723</v>
      </c>
      <c r="F279" s="441" t="s">
        <v>4140</v>
      </c>
      <c r="G279" s="441" t="s">
        <v>4141</v>
      </c>
      <c r="H279" s="441" t="s">
        <v>4142</v>
      </c>
    </row>
    <row r="280" spans="1:8" ht="24" customHeight="1">
      <c r="A280" s="447" t="s">
        <v>4143</v>
      </c>
      <c r="B280" s="447" t="s">
        <v>4428</v>
      </c>
      <c r="C280" s="447" t="s">
        <v>4144</v>
      </c>
      <c r="D280" s="448" t="s">
        <v>2909</v>
      </c>
      <c r="E280" s="447" t="s">
        <v>2489</v>
      </c>
      <c r="F280" s="449">
        <v>1</v>
      </c>
      <c r="G280" s="450">
        <v>3.66</v>
      </c>
      <c r="H280" s="450">
        <f>ROUND((SUM(H281:H283)),2)</f>
        <v>3.66</v>
      </c>
    </row>
    <row r="281" spans="1:8" ht="24" customHeight="1">
      <c r="A281" s="443" t="s">
        <v>4145</v>
      </c>
      <c r="B281" s="443" t="s">
        <v>4158</v>
      </c>
      <c r="C281" s="443" t="s">
        <v>4475</v>
      </c>
      <c r="D281" s="444" t="s">
        <v>4159</v>
      </c>
      <c r="E281" s="443" t="s">
        <v>2708</v>
      </c>
      <c r="F281" s="445">
        <v>0.09</v>
      </c>
      <c r="G281" s="446">
        <v>13.02</v>
      </c>
      <c r="H281" s="446">
        <f t="shared" ref="H281:H283" si="30">ROUND((F281*G281),2)</f>
        <v>1.17</v>
      </c>
    </row>
    <row r="282" spans="1:8" ht="24" customHeight="1">
      <c r="A282" s="443" t="s">
        <v>4145</v>
      </c>
      <c r="B282" s="443" t="s">
        <v>4233</v>
      </c>
      <c r="C282" s="443" t="s">
        <v>4475</v>
      </c>
      <c r="D282" s="444" t="s">
        <v>4234</v>
      </c>
      <c r="E282" s="443" t="s">
        <v>2708</v>
      </c>
      <c r="F282" s="445">
        <v>0.09</v>
      </c>
      <c r="G282" s="446">
        <v>19.27</v>
      </c>
      <c r="H282" s="446">
        <f t="shared" si="30"/>
        <v>1.73</v>
      </c>
    </row>
    <row r="283" spans="1:8" ht="24" customHeight="1">
      <c r="A283" s="443" t="s">
        <v>4145</v>
      </c>
      <c r="B283" s="443" t="s">
        <v>4429</v>
      </c>
      <c r="C283" s="443" t="s">
        <v>4144</v>
      </c>
      <c r="D283" s="444" t="s">
        <v>2908</v>
      </c>
      <c r="E283" s="443" t="s">
        <v>2477</v>
      </c>
      <c r="F283" s="445">
        <v>1</v>
      </c>
      <c r="G283" s="446">
        <v>0.76</v>
      </c>
      <c r="H283" s="446">
        <f t="shared" si="30"/>
        <v>0.76</v>
      </c>
    </row>
    <row r="284" spans="1:8" ht="14.4" customHeight="1">
      <c r="A284" s="578" t="s">
        <v>4474</v>
      </c>
      <c r="B284" s="579"/>
      <c r="C284" s="579"/>
      <c r="D284" s="579"/>
      <c r="E284" s="579"/>
      <c r="F284" s="579"/>
      <c r="G284" s="580"/>
      <c r="H284" s="462">
        <f>H280*1.2592</f>
        <v>4.6086720000000003</v>
      </c>
    </row>
    <row r="285" spans="1:8">
      <c r="A285" s="576" t="s">
        <v>4150</v>
      </c>
      <c r="B285" s="576"/>
      <c r="C285" s="576"/>
      <c r="D285" s="576"/>
      <c r="E285" s="576"/>
      <c r="F285" s="576"/>
      <c r="G285" s="576"/>
      <c r="H285" s="576"/>
    </row>
    <row r="286" spans="1:8" ht="15" thickBot="1">
      <c r="A286" s="575" t="s">
        <v>4245</v>
      </c>
      <c r="B286" s="575"/>
      <c r="C286" s="575"/>
      <c r="D286" s="575"/>
      <c r="E286" s="575"/>
      <c r="F286" s="575"/>
      <c r="G286" s="575"/>
      <c r="H286" s="575"/>
    </row>
    <row r="287" spans="1:8" ht="15" thickTop="1">
      <c r="A287" s="403"/>
      <c r="B287" s="403"/>
      <c r="C287" s="403"/>
      <c r="D287" s="403"/>
      <c r="E287" s="403"/>
      <c r="F287" s="439"/>
      <c r="G287" s="439"/>
      <c r="H287" s="439"/>
    </row>
    <row r="288" spans="1:8">
      <c r="A288" s="441" t="s">
        <v>4248</v>
      </c>
      <c r="B288" s="441" t="s">
        <v>4137</v>
      </c>
      <c r="C288" s="441" t="s">
        <v>4138</v>
      </c>
      <c r="D288" s="442" t="s">
        <v>4139</v>
      </c>
      <c r="E288" s="441" t="s">
        <v>2723</v>
      </c>
      <c r="F288" s="441" t="s">
        <v>4140</v>
      </c>
      <c r="G288" s="441" t="s">
        <v>4141</v>
      </c>
      <c r="H288" s="441" t="s">
        <v>4142</v>
      </c>
    </row>
    <row r="289" spans="1:8" ht="24" customHeight="1">
      <c r="A289" s="447" t="s">
        <v>4143</v>
      </c>
      <c r="B289" s="447" t="s">
        <v>4430</v>
      </c>
      <c r="C289" s="447" t="s">
        <v>4144</v>
      </c>
      <c r="D289" s="448" t="s">
        <v>3955</v>
      </c>
      <c r="E289" s="447" t="s">
        <v>2487</v>
      </c>
      <c r="F289" s="449">
        <v>1</v>
      </c>
      <c r="G289" s="450">
        <v>11.81</v>
      </c>
      <c r="H289" s="450">
        <f>ROUND((SUM(H290:H292)),2)</f>
        <v>11.81</v>
      </c>
    </row>
    <row r="290" spans="1:8" ht="24" customHeight="1">
      <c r="A290" s="443" t="s">
        <v>4145</v>
      </c>
      <c r="B290" s="443" t="s">
        <v>4158</v>
      </c>
      <c r="C290" s="443" t="s">
        <v>4475</v>
      </c>
      <c r="D290" s="444" t="s">
        <v>4159</v>
      </c>
      <c r="E290" s="443" t="s">
        <v>2708</v>
      </c>
      <c r="F290" s="445">
        <v>0.24</v>
      </c>
      <c r="G290" s="446">
        <v>13.02</v>
      </c>
      <c r="H290" s="446">
        <f t="shared" ref="H290:H292" si="31">ROUND((F290*G290),2)</f>
        <v>3.12</v>
      </c>
    </row>
    <row r="291" spans="1:8" ht="24" customHeight="1">
      <c r="A291" s="443" t="s">
        <v>4145</v>
      </c>
      <c r="B291" s="443" t="s">
        <v>4233</v>
      </c>
      <c r="C291" s="443" t="s">
        <v>4475</v>
      </c>
      <c r="D291" s="444" t="s">
        <v>4234</v>
      </c>
      <c r="E291" s="443" t="s">
        <v>2708</v>
      </c>
      <c r="F291" s="445">
        <v>0.24</v>
      </c>
      <c r="G291" s="446">
        <v>19.27</v>
      </c>
      <c r="H291" s="446">
        <f t="shared" si="31"/>
        <v>4.62</v>
      </c>
    </row>
    <row r="292" spans="1:8" ht="24" customHeight="1">
      <c r="A292" s="443" t="s">
        <v>4145</v>
      </c>
      <c r="B292" s="443" t="s">
        <v>4431</v>
      </c>
      <c r="C292" s="443" t="s">
        <v>4144</v>
      </c>
      <c r="D292" s="444" t="s">
        <v>4249</v>
      </c>
      <c r="E292" s="443" t="s">
        <v>2487</v>
      </c>
      <c r="F292" s="445">
        <v>1</v>
      </c>
      <c r="G292" s="446">
        <v>4.07</v>
      </c>
      <c r="H292" s="446">
        <f t="shared" si="31"/>
        <v>4.07</v>
      </c>
    </row>
    <row r="293" spans="1:8" ht="14.4" customHeight="1">
      <c r="A293" s="578" t="s">
        <v>4474</v>
      </c>
      <c r="B293" s="579"/>
      <c r="C293" s="579"/>
      <c r="D293" s="579"/>
      <c r="E293" s="579"/>
      <c r="F293" s="579"/>
      <c r="G293" s="580"/>
      <c r="H293" s="462">
        <f>H289*1.2592</f>
        <v>14.871152000000002</v>
      </c>
    </row>
    <row r="294" spans="1:8">
      <c r="A294" s="576" t="s">
        <v>4150</v>
      </c>
      <c r="B294" s="576"/>
      <c r="C294" s="576"/>
      <c r="D294" s="576"/>
      <c r="E294" s="576"/>
      <c r="F294" s="576"/>
      <c r="G294" s="576"/>
      <c r="H294" s="576"/>
    </row>
    <row r="295" spans="1:8" ht="15" thickBot="1">
      <c r="A295" s="575" t="s">
        <v>4250</v>
      </c>
      <c r="B295" s="575"/>
      <c r="C295" s="575"/>
      <c r="D295" s="575"/>
      <c r="E295" s="575"/>
      <c r="F295" s="575"/>
      <c r="G295" s="575"/>
      <c r="H295" s="575"/>
    </row>
    <row r="296" spans="1:8" ht="15" thickTop="1">
      <c r="A296" s="403"/>
      <c r="B296" s="403"/>
      <c r="C296" s="403"/>
      <c r="D296" s="403"/>
      <c r="E296" s="403"/>
      <c r="F296" s="439"/>
      <c r="G296" s="439"/>
      <c r="H296" s="439"/>
    </row>
    <row r="297" spans="1:8">
      <c r="A297" s="441" t="s">
        <v>4251</v>
      </c>
      <c r="B297" s="441" t="s">
        <v>4137</v>
      </c>
      <c r="C297" s="441" t="s">
        <v>4138</v>
      </c>
      <c r="D297" s="442" t="s">
        <v>4139</v>
      </c>
      <c r="E297" s="441" t="s">
        <v>2723</v>
      </c>
      <c r="F297" s="441" t="s">
        <v>4140</v>
      </c>
      <c r="G297" s="441" t="s">
        <v>4141</v>
      </c>
      <c r="H297" s="441" t="s">
        <v>4142</v>
      </c>
    </row>
    <row r="298" spans="1:8" ht="24" customHeight="1">
      <c r="A298" s="447" t="s">
        <v>4143</v>
      </c>
      <c r="B298" s="447" t="s">
        <v>4432</v>
      </c>
      <c r="C298" s="447" t="s">
        <v>4144</v>
      </c>
      <c r="D298" s="448" t="s">
        <v>2913</v>
      </c>
      <c r="E298" s="447" t="s">
        <v>2487</v>
      </c>
      <c r="F298" s="449">
        <v>1</v>
      </c>
      <c r="G298" s="450">
        <v>3.05</v>
      </c>
      <c r="H298" s="450">
        <f>ROUND((SUM(H299:H300)),2)</f>
        <v>3.05</v>
      </c>
    </row>
    <row r="299" spans="1:8" ht="24" customHeight="1">
      <c r="A299" s="443" t="s">
        <v>4145</v>
      </c>
      <c r="B299" s="443" t="s">
        <v>4158</v>
      </c>
      <c r="C299" s="443" t="s">
        <v>4475</v>
      </c>
      <c r="D299" s="444" t="s">
        <v>4159</v>
      </c>
      <c r="E299" s="443" t="s">
        <v>2708</v>
      </c>
      <c r="F299" s="445">
        <v>0.1</v>
      </c>
      <c r="G299" s="446">
        <v>13.02</v>
      </c>
      <c r="H299" s="446">
        <f t="shared" ref="H299:H300" si="32">ROUND((F299*G299),2)</f>
        <v>1.3</v>
      </c>
    </row>
    <row r="300" spans="1:8" ht="24" customHeight="1">
      <c r="A300" s="443" t="s">
        <v>4145</v>
      </c>
      <c r="B300" s="443" t="s">
        <v>4433</v>
      </c>
      <c r="C300" s="443" t="s">
        <v>4144</v>
      </c>
      <c r="D300" s="444" t="s">
        <v>2913</v>
      </c>
      <c r="E300" s="443" t="s">
        <v>2487</v>
      </c>
      <c r="F300" s="445">
        <v>1</v>
      </c>
      <c r="G300" s="446">
        <v>1.75</v>
      </c>
      <c r="H300" s="446">
        <f t="shared" si="32"/>
        <v>1.75</v>
      </c>
    </row>
    <row r="301" spans="1:8" ht="14.4" customHeight="1">
      <c r="A301" s="578" t="s">
        <v>4474</v>
      </c>
      <c r="B301" s="579"/>
      <c r="C301" s="579"/>
      <c r="D301" s="579"/>
      <c r="E301" s="579"/>
      <c r="F301" s="579"/>
      <c r="G301" s="580"/>
      <c r="H301" s="462">
        <f>H298*1.2592</f>
        <v>3.84056</v>
      </c>
    </row>
    <row r="302" spans="1:8">
      <c r="A302" s="576" t="s">
        <v>4150</v>
      </c>
      <c r="B302" s="576"/>
      <c r="C302" s="576"/>
      <c r="D302" s="576"/>
      <c r="E302" s="576"/>
      <c r="F302" s="576"/>
      <c r="G302" s="576"/>
      <c r="H302" s="576"/>
    </row>
    <row r="303" spans="1:8" ht="15" thickBot="1">
      <c r="A303" s="575" t="s">
        <v>4252</v>
      </c>
      <c r="B303" s="575"/>
      <c r="C303" s="575"/>
      <c r="D303" s="575"/>
      <c r="E303" s="575"/>
      <c r="F303" s="575"/>
      <c r="G303" s="575"/>
      <c r="H303" s="575"/>
    </row>
    <row r="304" spans="1:8" ht="15" thickTop="1">
      <c r="A304" s="403"/>
      <c r="B304" s="403"/>
      <c r="C304" s="403"/>
      <c r="D304" s="403"/>
      <c r="E304" s="403"/>
      <c r="F304" s="439"/>
      <c r="G304" s="439"/>
      <c r="H304" s="439"/>
    </row>
    <row r="305" spans="1:8">
      <c r="A305" s="441" t="s">
        <v>4253</v>
      </c>
      <c r="B305" s="441" t="s">
        <v>4137</v>
      </c>
      <c r="C305" s="441" t="s">
        <v>4138</v>
      </c>
      <c r="D305" s="442" t="s">
        <v>4139</v>
      </c>
      <c r="E305" s="441" t="s">
        <v>2723</v>
      </c>
      <c r="F305" s="441" t="s">
        <v>4140</v>
      </c>
      <c r="G305" s="441" t="s">
        <v>4141</v>
      </c>
      <c r="H305" s="441" t="s">
        <v>4142</v>
      </c>
    </row>
    <row r="306" spans="1:8" ht="24" customHeight="1">
      <c r="A306" s="447" t="s">
        <v>4143</v>
      </c>
      <c r="B306" s="447" t="s">
        <v>4434</v>
      </c>
      <c r="C306" s="447" t="s">
        <v>4144</v>
      </c>
      <c r="D306" s="448" t="s">
        <v>4254</v>
      </c>
      <c r="E306" s="447" t="s">
        <v>2489</v>
      </c>
      <c r="F306" s="449">
        <v>1</v>
      </c>
      <c r="G306" s="450">
        <v>2.41</v>
      </c>
      <c r="H306" s="450">
        <f>ROUND((SUM(H307:H308)),2)</f>
        <v>2.41</v>
      </c>
    </row>
    <row r="307" spans="1:8" ht="24" customHeight="1">
      <c r="A307" s="443" t="s">
        <v>4145</v>
      </c>
      <c r="B307" s="443" t="s">
        <v>4158</v>
      </c>
      <c r="C307" s="443" t="s">
        <v>4475</v>
      </c>
      <c r="D307" s="444" t="s">
        <v>4159</v>
      </c>
      <c r="E307" s="443" t="s">
        <v>2708</v>
      </c>
      <c r="F307" s="445">
        <v>0.1</v>
      </c>
      <c r="G307" s="446">
        <v>13.02</v>
      </c>
      <c r="H307" s="446">
        <f t="shared" ref="H307:H308" si="33">ROUND((F307*G307),2)</f>
        <v>1.3</v>
      </c>
    </row>
    <row r="308" spans="1:8" ht="24" customHeight="1">
      <c r="A308" s="443" t="s">
        <v>4145</v>
      </c>
      <c r="B308" s="443" t="s">
        <v>4435</v>
      </c>
      <c r="C308" s="443" t="s">
        <v>4144</v>
      </c>
      <c r="D308" s="444" t="s">
        <v>4254</v>
      </c>
      <c r="E308" s="443" t="s">
        <v>2477</v>
      </c>
      <c r="F308" s="445">
        <v>1</v>
      </c>
      <c r="G308" s="446">
        <v>1.1100000000000001</v>
      </c>
      <c r="H308" s="446">
        <f t="shared" si="33"/>
        <v>1.1100000000000001</v>
      </c>
    </row>
    <row r="309" spans="1:8" ht="14.4" customHeight="1">
      <c r="A309" s="578" t="s">
        <v>4474</v>
      </c>
      <c r="B309" s="579"/>
      <c r="C309" s="579"/>
      <c r="D309" s="579"/>
      <c r="E309" s="579"/>
      <c r="F309" s="579"/>
      <c r="G309" s="580"/>
      <c r="H309" s="462">
        <f>H306*1.2592</f>
        <v>3.0346720000000005</v>
      </c>
    </row>
    <row r="310" spans="1:8">
      <c r="A310" s="576" t="s">
        <v>4150</v>
      </c>
      <c r="B310" s="576"/>
      <c r="C310" s="576"/>
      <c r="D310" s="576"/>
      <c r="E310" s="576"/>
      <c r="F310" s="576"/>
      <c r="G310" s="576"/>
      <c r="H310" s="576"/>
    </row>
    <row r="311" spans="1:8" ht="15" thickBot="1">
      <c r="A311" s="575" t="s">
        <v>4252</v>
      </c>
      <c r="B311" s="575"/>
      <c r="C311" s="575"/>
      <c r="D311" s="575"/>
      <c r="E311" s="575"/>
      <c r="F311" s="575"/>
      <c r="G311" s="575"/>
      <c r="H311" s="575"/>
    </row>
    <row r="312" spans="1:8" ht="15" thickTop="1">
      <c r="A312" s="403"/>
      <c r="B312" s="403"/>
      <c r="C312" s="403"/>
      <c r="D312" s="403"/>
      <c r="E312" s="403"/>
      <c r="F312" s="439"/>
      <c r="G312" s="439"/>
      <c r="H312" s="439"/>
    </row>
    <row r="313" spans="1:8">
      <c r="A313" s="441" t="s">
        <v>4255</v>
      </c>
      <c r="B313" s="441" t="s">
        <v>4137</v>
      </c>
      <c r="C313" s="441" t="s">
        <v>4138</v>
      </c>
      <c r="D313" s="442" t="s">
        <v>4139</v>
      </c>
      <c r="E313" s="441" t="s">
        <v>2723</v>
      </c>
      <c r="F313" s="441" t="s">
        <v>4140</v>
      </c>
      <c r="G313" s="441" t="s">
        <v>4141</v>
      </c>
      <c r="H313" s="441" t="s">
        <v>4142</v>
      </c>
    </row>
    <row r="314" spans="1:8" ht="24" customHeight="1">
      <c r="A314" s="447" t="s">
        <v>4143</v>
      </c>
      <c r="B314" s="447" t="s">
        <v>4436</v>
      </c>
      <c r="C314" s="447" t="s">
        <v>4144</v>
      </c>
      <c r="D314" s="448" t="s">
        <v>4256</v>
      </c>
      <c r="E314" s="447" t="s">
        <v>2489</v>
      </c>
      <c r="F314" s="449">
        <v>1</v>
      </c>
      <c r="G314" s="450">
        <v>635.11</v>
      </c>
      <c r="H314" s="450">
        <f>ROUND((SUM(H315:H317)),2)</f>
        <v>635.11</v>
      </c>
    </row>
    <row r="315" spans="1:8" ht="24" customHeight="1">
      <c r="A315" s="443" t="s">
        <v>4145</v>
      </c>
      <c r="B315" s="443" t="s">
        <v>4174</v>
      </c>
      <c r="C315" s="443" t="s">
        <v>4475</v>
      </c>
      <c r="D315" s="444" t="s">
        <v>4175</v>
      </c>
      <c r="E315" s="443" t="s">
        <v>2708</v>
      </c>
      <c r="F315" s="445">
        <v>0.3</v>
      </c>
      <c r="G315" s="446">
        <v>19.27</v>
      </c>
      <c r="H315" s="446">
        <f t="shared" ref="H315:H317" si="34">ROUND((F315*G315),2)</f>
        <v>5.78</v>
      </c>
    </row>
    <row r="316" spans="1:8" ht="24" customHeight="1">
      <c r="A316" s="443" t="s">
        <v>4145</v>
      </c>
      <c r="B316" s="443" t="s">
        <v>4158</v>
      </c>
      <c r="C316" s="443" t="s">
        <v>4475</v>
      </c>
      <c r="D316" s="444" t="s">
        <v>4159</v>
      </c>
      <c r="E316" s="443" t="s">
        <v>2708</v>
      </c>
      <c r="F316" s="445">
        <v>0.3</v>
      </c>
      <c r="G316" s="446">
        <v>13.02</v>
      </c>
      <c r="H316" s="446">
        <f t="shared" si="34"/>
        <v>3.91</v>
      </c>
    </row>
    <row r="317" spans="1:8" ht="24" customHeight="1">
      <c r="A317" s="443" t="s">
        <v>4145</v>
      </c>
      <c r="B317" s="443" t="s">
        <v>4437</v>
      </c>
      <c r="C317" s="443" t="s">
        <v>4144</v>
      </c>
      <c r="D317" s="444" t="s">
        <v>4256</v>
      </c>
      <c r="E317" s="443" t="s">
        <v>2477</v>
      </c>
      <c r="F317" s="445">
        <v>1</v>
      </c>
      <c r="G317" s="446">
        <v>625.41999999999996</v>
      </c>
      <c r="H317" s="446">
        <f t="shared" si="34"/>
        <v>625.41999999999996</v>
      </c>
    </row>
    <row r="318" spans="1:8" ht="14.4" customHeight="1">
      <c r="A318" s="578" t="s">
        <v>4474</v>
      </c>
      <c r="B318" s="579"/>
      <c r="C318" s="579"/>
      <c r="D318" s="579"/>
      <c r="E318" s="579"/>
      <c r="F318" s="579"/>
      <c r="G318" s="580"/>
      <c r="H318" s="462">
        <f>H314*1.2592</f>
        <v>799.73051200000009</v>
      </c>
    </row>
    <row r="319" spans="1:8">
      <c r="A319" s="576" t="s">
        <v>4150</v>
      </c>
      <c r="B319" s="576"/>
      <c r="C319" s="576"/>
      <c r="D319" s="576"/>
      <c r="E319" s="576"/>
      <c r="F319" s="576"/>
      <c r="G319" s="576"/>
      <c r="H319" s="576"/>
    </row>
    <row r="320" spans="1:8" ht="15" thickBot="1">
      <c r="A320" s="575" t="s">
        <v>4257</v>
      </c>
      <c r="B320" s="575"/>
      <c r="C320" s="575"/>
      <c r="D320" s="575"/>
      <c r="E320" s="575"/>
      <c r="F320" s="575"/>
      <c r="G320" s="575"/>
      <c r="H320" s="575"/>
    </row>
    <row r="321" spans="1:8" ht="15" thickTop="1">
      <c r="A321" s="403"/>
      <c r="B321" s="403"/>
      <c r="C321" s="403"/>
      <c r="D321" s="403"/>
      <c r="E321" s="403"/>
      <c r="F321" s="439"/>
      <c r="G321" s="439"/>
      <c r="H321" s="439"/>
    </row>
    <row r="322" spans="1:8">
      <c r="A322" s="441" t="s">
        <v>4258</v>
      </c>
      <c r="B322" s="441" t="s">
        <v>4137</v>
      </c>
      <c r="C322" s="441" t="s">
        <v>4138</v>
      </c>
      <c r="D322" s="442" t="s">
        <v>4139</v>
      </c>
      <c r="E322" s="441" t="s">
        <v>2723</v>
      </c>
      <c r="F322" s="441" t="s">
        <v>4140</v>
      </c>
      <c r="G322" s="441" t="s">
        <v>4141</v>
      </c>
      <c r="H322" s="441" t="s">
        <v>4142</v>
      </c>
    </row>
    <row r="323" spans="1:8" ht="52.05" customHeight="1">
      <c r="A323" s="447" t="s">
        <v>4143</v>
      </c>
      <c r="B323" s="447" t="s">
        <v>4438</v>
      </c>
      <c r="C323" s="447" t="s">
        <v>4144</v>
      </c>
      <c r="D323" s="448" t="s">
        <v>2751</v>
      </c>
      <c r="E323" s="447" t="s">
        <v>4163</v>
      </c>
      <c r="F323" s="449">
        <v>1</v>
      </c>
      <c r="G323" s="450">
        <f>H323</f>
        <v>8.17</v>
      </c>
      <c r="H323" s="450">
        <f>ROUND((SUM(H324:H329)),2)</f>
        <v>8.17</v>
      </c>
    </row>
    <row r="324" spans="1:8" ht="25.95" customHeight="1">
      <c r="A324" s="443" t="s">
        <v>4479</v>
      </c>
      <c r="B324" s="443">
        <v>44499</v>
      </c>
      <c r="C324" s="443" t="s">
        <v>4155</v>
      </c>
      <c r="D324" s="444" t="s">
        <v>4477</v>
      </c>
      <c r="E324" s="443" t="s">
        <v>4157</v>
      </c>
      <c r="F324" s="445">
        <v>0.106</v>
      </c>
      <c r="G324" s="446">
        <v>10.08</v>
      </c>
      <c r="H324" s="446">
        <f t="shared" ref="H324:H329" si="35">ROUND((F324*G324),2)</f>
        <v>1.07</v>
      </c>
    </row>
    <row r="325" spans="1:8" ht="25.95" customHeight="1">
      <c r="A325" s="443" t="s">
        <v>4479</v>
      </c>
      <c r="B325" s="443">
        <v>44497</v>
      </c>
      <c r="C325" s="443" t="s">
        <v>4155</v>
      </c>
      <c r="D325" s="444" t="s">
        <v>4476</v>
      </c>
      <c r="E325" s="443" t="s">
        <v>4157</v>
      </c>
      <c r="F325" s="445">
        <v>0.21299999999999999</v>
      </c>
      <c r="G325" s="446">
        <v>14.11</v>
      </c>
      <c r="H325" s="446">
        <f t="shared" si="35"/>
        <v>3.01</v>
      </c>
    </row>
    <row r="326" spans="1:8" ht="24" customHeight="1">
      <c r="A326" s="443" t="s">
        <v>4479</v>
      </c>
      <c r="B326" s="443">
        <v>6160</v>
      </c>
      <c r="C326" s="443" t="s">
        <v>4155</v>
      </c>
      <c r="D326" s="444" t="s">
        <v>4478</v>
      </c>
      <c r="E326" s="443" t="s">
        <v>4157</v>
      </c>
      <c r="F326" s="445">
        <v>0.21299999999999999</v>
      </c>
      <c r="G326" s="446">
        <v>17.809999999999999</v>
      </c>
      <c r="H326" s="446">
        <f t="shared" si="35"/>
        <v>3.79</v>
      </c>
    </row>
    <row r="327" spans="1:8" ht="39" customHeight="1">
      <c r="A327" s="443" t="s">
        <v>4259</v>
      </c>
      <c r="B327" s="443" t="s">
        <v>4260</v>
      </c>
      <c r="C327" s="443" t="s">
        <v>4155</v>
      </c>
      <c r="D327" s="444" t="s">
        <v>4261</v>
      </c>
      <c r="E327" s="443" t="s">
        <v>4262</v>
      </c>
      <c r="F327" s="445">
        <v>6.7999999999999996E-3</v>
      </c>
      <c r="G327" s="446">
        <v>16.649999999999999</v>
      </c>
      <c r="H327" s="446">
        <f t="shared" si="35"/>
        <v>0.11</v>
      </c>
    </row>
    <row r="328" spans="1:8" ht="39" customHeight="1">
      <c r="A328" s="443" t="s">
        <v>4259</v>
      </c>
      <c r="B328" s="443" t="s">
        <v>4263</v>
      </c>
      <c r="C328" s="443" t="s">
        <v>4155</v>
      </c>
      <c r="D328" s="444" t="s">
        <v>4264</v>
      </c>
      <c r="E328" s="443" t="s">
        <v>4265</v>
      </c>
      <c r="F328" s="445">
        <v>9.4000000000000004E-3</v>
      </c>
      <c r="G328" s="446">
        <v>15.65</v>
      </c>
      <c r="H328" s="446">
        <f t="shared" si="35"/>
        <v>0.15</v>
      </c>
    </row>
    <row r="329" spans="1:8" ht="25.95" customHeight="1">
      <c r="A329" s="443" t="s">
        <v>4145</v>
      </c>
      <c r="B329" s="443" t="s">
        <v>4266</v>
      </c>
      <c r="C329" s="443" t="s">
        <v>4155</v>
      </c>
      <c r="D329" s="444" t="s">
        <v>4267</v>
      </c>
      <c r="E329" s="443" t="s">
        <v>3494</v>
      </c>
      <c r="F329" s="445">
        <v>1.5E-3</v>
      </c>
      <c r="G329" s="446">
        <v>29.66</v>
      </c>
      <c r="H329" s="446">
        <f t="shared" si="35"/>
        <v>0.04</v>
      </c>
    </row>
    <row r="330" spans="1:8" ht="14.4" customHeight="1">
      <c r="A330" s="578" t="s">
        <v>4474</v>
      </c>
      <c r="B330" s="579"/>
      <c r="C330" s="579"/>
      <c r="D330" s="579"/>
      <c r="E330" s="579"/>
      <c r="F330" s="579"/>
      <c r="G330" s="580"/>
      <c r="H330" s="462">
        <f>ROUND((H323*1.2592),2)</f>
        <v>10.29</v>
      </c>
    </row>
    <row r="331" spans="1:8">
      <c r="A331" s="576" t="s">
        <v>4150</v>
      </c>
      <c r="B331" s="576"/>
      <c r="C331" s="576"/>
      <c r="D331" s="576"/>
      <c r="E331" s="576"/>
      <c r="F331" s="576"/>
      <c r="G331" s="576"/>
      <c r="H331" s="576"/>
    </row>
    <row r="332" spans="1:8" ht="15" thickBot="1">
      <c r="A332" s="575" t="s">
        <v>4268</v>
      </c>
      <c r="B332" s="575"/>
      <c r="C332" s="575"/>
      <c r="D332" s="575"/>
      <c r="E332" s="575"/>
      <c r="F332" s="575"/>
      <c r="G332" s="575"/>
      <c r="H332" s="575"/>
    </row>
    <row r="333" spans="1:8" ht="15" thickTop="1">
      <c r="A333" s="403"/>
      <c r="B333" s="403"/>
      <c r="C333" s="403"/>
      <c r="D333" s="403"/>
      <c r="E333" s="403"/>
      <c r="F333" s="439"/>
      <c r="G333" s="439"/>
      <c r="H333" s="439"/>
    </row>
    <row r="334" spans="1:8">
      <c r="A334" s="441" t="s">
        <v>4269</v>
      </c>
      <c r="B334" s="441" t="s">
        <v>4137</v>
      </c>
      <c r="C334" s="441" t="s">
        <v>4138</v>
      </c>
      <c r="D334" s="442" t="s">
        <v>4139</v>
      </c>
      <c r="E334" s="441" t="s">
        <v>2723</v>
      </c>
      <c r="F334" s="441" t="s">
        <v>4140</v>
      </c>
      <c r="G334" s="441" t="s">
        <v>4141</v>
      </c>
      <c r="H334" s="441" t="s">
        <v>4142</v>
      </c>
    </row>
    <row r="335" spans="1:8" ht="25.95" customHeight="1">
      <c r="A335" s="447" t="s">
        <v>4143</v>
      </c>
      <c r="B335" s="447" t="s">
        <v>4439</v>
      </c>
      <c r="C335" s="447" t="s">
        <v>4144</v>
      </c>
      <c r="D335" s="448" t="s">
        <v>2873</v>
      </c>
      <c r="E335" s="447" t="s">
        <v>3040</v>
      </c>
      <c r="F335" s="449">
        <v>1</v>
      </c>
      <c r="G335" s="450">
        <v>46.88</v>
      </c>
      <c r="H335" s="450">
        <f>ROUND((SUM(H336:H341)),2)</f>
        <v>46.88</v>
      </c>
    </row>
    <row r="336" spans="1:8" ht="24" customHeight="1">
      <c r="A336" s="443" t="s">
        <v>4145</v>
      </c>
      <c r="B336" s="443" t="s">
        <v>4148</v>
      </c>
      <c r="C336" s="443" t="s">
        <v>4475</v>
      </c>
      <c r="D336" s="444" t="s">
        <v>4149</v>
      </c>
      <c r="E336" s="443" t="s">
        <v>2708</v>
      </c>
      <c r="F336" s="445">
        <v>1.2222999999999999</v>
      </c>
      <c r="G336" s="446">
        <v>11.53</v>
      </c>
      <c r="H336" s="446">
        <f t="shared" ref="H336:H341" si="36">ROUND((F336*G336),2)</f>
        <v>14.09</v>
      </c>
    </row>
    <row r="337" spans="1:8" ht="24" customHeight="1">
      <c r="A337" s="443" t="s">
        <v>4145</v>
      </c>
      <c r="B337" s="443" t="s">
        <v>4146</v>
      </c>
      <c r="C337" s="443" t="s">
        <v>4475</v>
      </c>
      <c r="D337" s="444" t="s">
        <v>4147</v>
      </c>
      <c r="E337" s="443" t="s">
        <v>2708</v>
      </c>
      <c r="F337" s="445">
        <v>1.3187</v>
      </c>
      <c r="G337" s="446">
        <v>19.27</v>
      </c>
      <c r="H337" s="446">
        <f t="shared" si="36"/>
        <v>25.41</v>
      </c>
    </row>
    <row r="338" spans="1:8" ht="24" customHeight="1">
      <c r="A338" s="443" t="s">
        <v>4145</v>
      </c>
      <c r="B338" s="443" t="s">
        <v>4270</v>
      </c>
      <c r="C338" s="443" t="s">
        <v>4475</v>
      </c>
      <c r="D338" s="444" t="s">
        <v>4271</v>
      </c>
      <c r="E338" s="443" t="s">
        <v>2894</v>
      </c>
      <c r="F338" s="445">
        <v>1.43E-2</v>
      </c>
      <c r="G338" s="446">
        <v>180.03</v>
      </c>
      <c r="H338" s="446">
        <f t="shared" si="36"/>
        <v>2.57</v>
      </c>
    </row>
    <row r="339" spans="1:8" ht="24" customHeight="1">
      <c r="A339" s="443" t="s">
        <v>4145</v>
      </c>
      <c r="B339" s="443" t="s">
        <v>4272</v>
      </c>
      <c r="C339" s="443" t="s">
        <v>4475</v>
      </c>
      <c r="D339" s="444" t="s">
        <v>4273</v>
      </c>
      <c r="E339" s="443" t="s">
        <v>4163</v>
      </c>
      <c r="F339" s="445">
        <v>5</v>
      </c>
      <c r="G339" s="446">
        <v>0.62</v>
      </c>
      <c r="H339" s="446">
        <f t="shared" si="36"/>
        <v>3.1</v>
      </c>
    </row>
    <row r="340" spans="1:8" ht="25.95" customHeight="1">
      <c r="A340" s="443" t="s">
        <v>4145</v>
      </c>
      <c r="B340" s="443" t="s">
        <v>4274</v>
      </c>
      <c r="C340" s="443" t="s">
        <v>4475</v>
      </c>
      <c r="D340" s="444" t="s">
        <v>4275</v>
      </c>
      <c r="E340" s="443" t="s">
        <v>2488</v>
      </c>
      <c r="F340" s="445">
        <v>5.9499999999999997E-2</v>
      </c>
      <c r="G340" s="446">
        <v>15.59</v>
      </c>
      <c r="H340" s="446">
        <f t="shared" si="36"/>
        <v>0.93</v>
      </c>
    </row>
    <row r="341" spans="1:8" ht="24" customHeight="1">
      <c r="A341" s="443" t="s">
        <v>4145</v>
      </c>
      <c r="B341" s="443" t="s">
        <v>4276</v>
      </c>
      <c r="C341" s="443" t="s">
        <v>4475</v>
      </c>
      <c r="D341" s="444" t="s">
        <v>4277</v>
      </c>
      <c r="E341" s="443" t="s">
        <v>2488</v>
      </c>
      <c r="F341" s="445">
        <v>0.29759999999999998</v>
      </c>
      <c r="G341" s="446">
        <v>2.63</v>
      </c>
      <c r="H341" s="446">
        <f t="shared" si="36"/>
        <v>0.78</v>
      </c>
    </row>
    <row r="342" spans="1:8" ht="14.4" customHeight="1">
      <c r="A342" s="578" t="s">
        <v>4474</v>
      </c>
      <c r="B342" s="579"/>
      <c r="C342" s="579"/>
      <c r="D342" s="579"/>
      <c r="E342" s="579"/>
      <c r="F342" s="579"/>
      <c r="G342" s="580"/>
      <c r="H342" s="462">
        <f>ROUND((H335*1.2592),2)</f>
        <v>59.03</v>
      </c>
    </row>
    <row r="343" spans="1:8">
      <c r="A343" s="576" t="s">
        <v>4150</v>
      </c>
      <c r="B343" s="576"/>
      <c r="C343" s="576"/>
      <c r="D343" s="576"/>
      <c r="E343" s="576"/>
      <c r="F343" s="576"/>
      <c r="G343" s="576"/>
      <c r="H343" s="576"/>
    </row>
    <row r="344" spans="1:8" ht="15" thickBot="1">
      <c r="A344" s="575" t="s">
        <v>4278</v>
      </c>
      <c r="B344" s="575"/>
      <c r="C344" s="575"/>
      <c r="D344" s="575"/>
      <c r="E344" s="575"/>
      <c r="F344" s="575"/>
      <c r="G344" s="575"/>
      <c r="H344" s="575"/>
    </row>
    <row r="345" spans="1:8" ht="15" thickTop="1">
      <c r="A345" s="403"/>
      <c r="B345" s="403"/>
      <c r="C345" s="403"/>
      <c r="D345" s="403"/>
      <c r="E345" s="403"/>
      <c r="F345" s="439"/>
      <c r="G345" s="439"/>
      <c r="H345" s="439"/>
    </row>
    <row r="346" spans="1:8">
      <c r="A346" s="441" t="s">
        <v>4279</v>
      </c>
      <c r="B346" s="441" t="s">
        <v>4137</v>
      </c>
      <c r="C346" s="441" t="s">
        <v>4138</v>
      </c>
      <c r="D346" s="442" t="s">
        <v>4139</v>
      </c>
      <c r="E346" s="441" t="s">
        <v>2723</v>
      </c>
      <c r="F346" s="441" t="s">
        <v>4140</v>
      </c>
      <c r="G346" s="441" t="s">
        <v>4141</v>
      </c>
      <c r="H346" s="441" t="s">
        <v>4142</v>
      </c>
    </row>
    <row r="347" spans="1:8" ht="25.95" customHeight="1">
      <c r="A347" s="447" t="s">
        <v>4143</v>
      </c>
      <c r="B347" s="447" t="s">
        <v>4440</v>
      </c>
      <c r="C347" s="447" t="s">
        <v>4144</v>
      </c>
      <c r="D347" s="448" t="s">
        <v>3235</v>
      </c>
      <c r="E347" s="447" t="s">
        <v>3040</v>
      </c>
      <c r="F347" s="449">
        <v>1</v>
      </c>
      <c r="G347" s="450">
        <v>46.51</v>
      </c>
      <c r="H347" s="450">
        <f>ROUND((SUM(H348:H351)),2)</f>
        <v>46.51</v>
      </c>
    </row>
    <row r="348" spans="1:8" ht="24" customHeight="1">
      <c r="A348" s="443" t="s">
        <v>4145</v>
      </c>
      <c r="B348" s="443" t="s">
        <v>4148</v>
      </c>
      <c r="C348" s="443" t="s">
        <v>4475</v>
      </c>
      <c r="D348" s="444" t="s">
        <v>4149</v>
      </c>
      <c r="E348" s="443" t="s">
        <v>2708</v>
      </c>
      <c r="F348" s="445">
        <v>1.3335999999999999</v>
      </c>
      <c r="G348" s="446">
        <v>11.53</v>
      </c>
      <c r="H348" s="446">
        <f t="shared" ref="H348:H351" si="37">ROUND((F348*G348),2)</f>
        <v>15.38</v>
      </c>
    </row>
    <row r="349" spans="1:8" ht="24" customHeight="1">
      <c r="A349" s="443" t="s">
        <v>4145</v>
      </c>
      <c r="B349" s="443" t="s">
        <v>4146</v>
      </c>
      <c r="C349" s="443" t="s">
        <v>4475</v>
      </c>
      <c r="D349" s="444" t="s">
        <v>4147</v>
      </c>
      <c r="E349" s="443" t="s">
        <v>2708</v>
      </c>
      <c r="F349" s="445">
        <v>1.393</v>
      </c>
      <c r="G349" s="446">
        <v>19.27</v>
      </c>
      <c r="H349" s="446">
        <f t="shared" si="37"/>
        <v>26.84</v>
      </c>
    </row>
    <row r="350" spans="1:8" ht="24" customHeight="1">
      <c r="A350" s="443" t="s">
        <v>4145</v>
      </c>
      <c r="B350" s="443" t="s">
        <v>4270</v>
      </c>
      <c r="C350" s="443" t="s">
        <v>4475</v>
      </c>
      <c r="D350" s="444" t="s">
        <v>4271</v>
      </c>
      <c r="E350" s="443" t="s">
        <v>2894</v>
      </c>
      <c r="F350" s="445">
        <v>1.0800000000000001E-2</v>
      </c>
      <c r="G350" s="446">
        <v>180.03</v>
      </c>
      <c r="H350" s="446">
        <f t="shared" si="37"/>
        <v>1.94</v>
      </c>
    </row>
    <row r="351" spans="1:8" ht="24" customHeight="1">
      <c r="A351" s="443" t="s">
        <v>4145</v>
      </c>
      <c r="B351" s="443" t="s">
        <v>4272</v>
      </c>
      <c r="C351" s="443" t="s">
        <v>4475</v>
      </c>
      <c r="D351" s="444" t="s">
        <v>4273</v>
      </c>
      <c r="E351" s="443" t="s">
        <v>4163</v>
      </c>
      <c r="F351" s="445">
        <v>3.7955999999999999</v>
      </c>
      <c r="G351" s="446">
        <v>0.62</v>
      </c>
      <c r="H351" s="446">
        <f t="shared" si="37"/>
        <v>2.35</v>
      </c>
    </row>
    <row r="352" spans="1:8" ht="14.4" customHeight="1">
      <c r="A352" s="578" t="s">
        <v>4474</v>
      </c>
      <c r="B352" s="579"/>
      <c r="C352" s="579"/>
      <c r="D352" s="579"/>
      <c r="E352" s="579"/>
      <c r="F352" s="579"/>
      <c r="G352" s="580"/>
      <c r="H352" s="462">
        <f>ROUND((H347*1.2592),2)</f>
        <v>58.57</v>
      </c>
    </row>
    <row r="353" spans="1:8">
      <c r="A353" s="576" t="s">
        <v>4150</v>
      </c>
      <c r="B353" s="576"/>
      <c r="C353" s="576"/>
      <c r="D353" s="576"/>
      <c r="E353" s="576"/>
      <c r="F353" s="576"/>
      <c r="G353" s="576"/>
      <c r="H353" s="576"/>
    </row>
    <row r="354" spans="1:8" ht="15" thickBot="1">
      <c r="A354" s="575" t="s">
        <v>4280</v>
      </c>
      <c r="B354" s="575"/>
      <c r="C354" s="575"/>
      <c r="D354" s="575"/>
      <c r="E354" s="575"/>
      <c r="F354" s="575"/>
      <c r="G354" s="575"/>
      <c r="H354" s="575"/>
    </row>
    <row r="355" spans="1:8" ht="15" thickTop="1">
      <c r="A355" s="403"/>
      <c r="B355" s="403"/>
      <c r="C355" s="403"/>
      <c r="D355" s="403"/>
      <c r="E355" s="403"/>
      <c r="F355" s="439"/>
      <c r="G355" s="439"/>
      <c r="H355" s="439"/>
    </row>
    <row r="356" spans="1:8">
      <c r="A356" s="441" t="s">
        <v>4281</v>
      </c>
      <c r="B356" s="441" t="s">
        <v>4137</v>
      </c>
      <c r="C356" s="441" t="s">
        <v>4138</v>
      </c>
      <c r="D356" s="442" t="s">
        <v>4139</v>
      </c>
      <c r="E356" s="441" t="s">
        <v>2723</v>
      </c>
      <c r="F356" s="441" t="s">
        <v>4140</v>
      </c>
      <c r="G356" s="441" t="s">
        <v>4141</v>
      </c>
      <c r="H356" s="441" t="s">
        <v>4142</v>
      </c>
    </row>
    <row r="357" spans="1:8">
      <c r="A357" s="447" t="s">
        <v>4143</v>
      </c>
      <c r="B357" s="447" t="s">
        <v>4441</v>
      </c>
      <c r="C357" s="447" t="s">
        <v>4144</v>
      </c>
      <c r="D357" s="448" t="s">
        <v>3292</v>
      </c>
      <c r="E357" s="447" t="s">
        <v>2489</v>
      </c>
      <c r="F357" s="449">
        <v>1</v>
      </c>
      <c r="G357" s="450">
        <v>26.5</v>
      </c>
      <c r="H357" s="450">
        <f>ROUND((SUM(H358:H359)),2)</f>
        <v>26.5</v>
      </c>
    </row>
    <row r="358" spans="1:8" ht="24" customHeight="1">
      <c r="A358" s="443" t="s">
        <v>4145</v>
      </c>
      <c r="B358" s="443" t="s">
        <v>4158</v>
      </c>
      <c r="C358" s="443" t="s">
        <v>4475</v>
      </c>
      <c r="D358" s="444" t="s">
        <v>4159</v>
      </c>
      <c r="E358" s="443" t="s">
        <v>2708</v>
      </c>
      <c r="F358" s="445">
        <v>0.5</v>
      </c>
      <c r="G358" s="446">
        <v>13.02</v>
      </c>
      <c r="H358" s="446">
        <f t="shared" ref="H358:H359" si="38">ROUND((F358*G358),2)</f>
        <v>6.51</v>
      </c>
    </row>
    <row r="359" spans="1:8" ht="24" customHeight="1">
      <c r="A359" s="443" t="s">
        <v>4145</v>
      </c>
      <c r="B359" s="443" t="s">
        <v>4442</v>
      </c>
      <c r="C359" s="443" t="s">
        <v>4144</v>
      </c>
      <c r="D359" s="444" t="s">
        <v>3292</v>
      </c>
      <c r="E359" s="443" t="s">
        <v>3056</v>
      </c>
      <c r="F359" s="445">
        <v>1</v>
      </c>
      <c r="G359" s="446">
        <v>19.989999999999998</v>
      </c>
      <c r="H359" s="446">
        <f t="shared" si="38"/>
        <v>19.989999999999998</v>
      </c>
    </row>
    <row r="360" spans="1:8" ht="14.4" customHeight="1">
      <c r="A360" s="578" t="s">
        <v>4474</v>
      </c>
      <c r="B360" s="579"/>
      <c r="C360" s="579"/>
      <c r="D360" s="579"/>
      <c r="E360" s="579"/>
      <c r="F360" s="579"/>
      <c r="G360" s="580"/>
      <c r="H360" s="462">
        <f>ROUND((H357*1.2592),2)</f>
        <v>33.369999999999997</v>
      </c>
    </row>
    <row r="361" spans="1:8">
      <c r="A361" s="576" t="s">
        <v>4150</v>
      </c>
      <c r="B361" s="576"/>
      <c r="C361" s="576"/>
      <c r="D361" s="576"/>
      <c r="E361" s="576"/>
      <c r="F361" s="576"/>
      <c r="G361" s="576"/>
      <c r="H361" s="576"/>
    </row>
    <row r="362" spans="1:8" ht="15" thickBot="1">
      <c r="A362" s="575" t="s">
        <v>4282</v>
      </c>
      <c r="B362" s="575"/>
      <c r="C362" s="575"/>
      <c r="D362" s="575"/>
      <c r="E362" s="575"/>
      <c r="F362" s="575"/>
      <c r="G362" s="575"/>
      <c r="H362" s="575"/>
    </row>
    <row r="363" spans="1:8" ht="15" thickTop="1">
      <c r="A363" s="403"/>
      <c r="B363" s="403"/>
      <c r="C363" s="403"/>
      <c r="D363" s="403"/>
      <c r="E363" s="403"/>
      <c r="F363" s="439"/>
      <c r="G363" s="439"/>
      <c r="H363" s="439"/>
    </row>
    <row r="364" spans="1:8">
      <c r="A364" s="441" t="s">
        <v>4283</v>
      </c>
      <c r="B364" s="441" t="s">
        <v>4137</v>
      </c>
      <c r="C364" s="441" t="s">
        <v>4138</v>
      </c>
      <c r="D364" s="442" t="s">
        <v>4139</v>
      </c>
      <c r="E364" s="441" t="s">
        <v>2723</v>
      </c>
      <c r="F364" s="441" t="s">
        <v>4140</v>
      </c>
      <c r="G364" s="441" t="s">
        <v>4141</v>
      </c>
      <c r="H364" s="441" t="s">
        <v>4142</v>
      </c>
    </row>
    <row r="365" spans="1:8" ht="24" customHeight="1">
      <c r="A365" s="447" t="s">
        <v>4143</v>
      </c>
      <c r="B365" s="447" t="s">
        <v>4443</v>
      </c>
      <c r="C365" s="447" t="s">
        <v>4144</v>
      </c>
      <c r="D365" s="448" t="s">
        <v>3052</v>
      </c>
      <c r="E365" s="447" t="s">
        <v>3040</v>
      </c>
      <c r="F365" s="449">
        <v>1</v>
      </c>
      <c r="G365" s="450">
        <v>6.59</v>
      </c>
      <c r="H365" s="450">
        <f>ROUND((SUM(H366:H368)),2)</f>
        <v>6.59</v>
      </c>
    </row>
    <row r="366" spans="1:8" ht="24" customHeight="1">
      <c r="A366" s="443" t="s">
        <v>4145</v>
      </c>
      <c r="B366" s="443" t="s">
        <v>4146</v>
      </c>
      <c r="C366" s="443" t="s">
        <v>4475</v>
      </c>
      <c r="D366" s="444" t="s">
        <v>4147</v>
      </c>
      <c r="E366" s="443" t="s">
        <v>2708</v>
      </c>
      <c r="F366" s="445">
        <v>0.03</v>
      </c>
      <c r="G366" s="446">
        <v>19.27</v>
      </c>
      <c r="H366" s="446">
        <f t="shared" ref="H366:H367" si="39">ROUND((F366*G366),2)</f>
        <v>0.57999999999999996</v>
      </c>
    </row>
    <row r="367" spans="1:8" ht="24" customHeight="1">
      <c r="A367" s="443" t="s">
        <v>4145</v>
      </c>
      <c r="B367" s="443" t="s">
        <v>4148</v>
      </c>
      <c r="C367" s="443" t="s">
        <v>4475</v>
      </c>
      <c r="D367" s="444" t="s">
        <v>4149</v>
      </c>
      <c r="E367" s="443" t="s">
        <v>2708</v>
      </c>
      <c r="F367" s="445">
        <v>0.04</v>
      </c>
      <c r="G367" s="446">
        <v>11.53</v>
      </c>
      <c r="H367" s="446">
        <f t="shared" si="39"/>
        <v>0.46</v>
      </c>
    </row>
    <row r="368" spans="1:8" ht="24" customHeight="1">
      <c r="A368" s="443" t="s">
        <v>4145</v>
      </c>
      <c r="B368" s="443">
        <v>7161</v>
      </c>
      <c r="C368" s="443" t="s">
        <v>4155</v>
      </c>
      <c r="D368" s="444" t="s">
        <v>4284</v>
      </c>
      <c r="E368" s="443" t="s">
        <v>3040</v>
      </c>
      <c r="F368" s="445">
        <v>1.04</v>
      </c>
      <c r="G368" s="446">
        <v>5.34</v>
      </c>
      <c r="H368" s="446">
        <v>5.55</v>
      </c>
    </row>
    <row r="369" spans="1:8" ht="14.4" customHeight="1">
      <c r="A369" s="578" t="s">
        <v>4474</v>
      </c>
      <c r="B369" s="579"/>
      <c r="C369" s="579"/>
      <c r="D369" s="579"/>
      <c r="E369" s="579"/>
      <c r="F369" s="579"/>
      <c r="G369" s="580"/>
      <c r="H369" s="462">
        <f>ROUND((H365*1.2592),2)</f>
        <v>8.3000000000000007</v>
      </c>
    </row>
    <row r="370" spans="1:8">
      <c r="A370" s="576" t="s">
        <v>4150</v>
      </c>
      <c r="B370" s="576"/>
      <c r="C370" s="576"/>
      <c r="D370" s="576"/>
      <c r="E370" s="576"/>
      <c r="F370" s="576"/>
      <c r="G370" s="576"/>
      <c r="H370" s="576"/>
    </row>
    <row r="371" spans="1:8" ht="15" thickBot="1">
      <c r="A371" s="575" t="s">
        <v>4285</v>
      </c>
      <c r="B371" s="575"/>
      <c r="C371" s="575"/>
      <c r="D371" s="575"/>
      <c r="E371" s="575"/>
      <c r="F371" s="575"/>
      <c r="G371" s="575"/>
      <c r="H371" s="575"/>
    </row>
    <row r="372" spans="1:8" ht="15" thickTop="1">
      <c r="A372" s="403"/>
      <c r="B372" s="403"/>
      <c r="C372" s="403"/>
      <c r="D372" s="403"/>
      <c r="E372" s="403"/>
      <c r="F372" s="439"/>
      <c r="G372" s="439"/>
      <c r="H372" s="439"/>
    </row>
    <row r="373" spans="1:8">
      <c r="A373" s="441" t="s">
        <v>4286</v>
      </c>
      <c r="B373" s="441" t="s">
        <v>4137</v>
      </c>
      <c r="C373" s="441" t="s">
        <v>4138</v>
      </c>
      <c r="D373" s="442" t="s">
        <v>4139</v>
      </c>
      <c r="E373" s="441" t="s">
        <v>2723</v>
      </c>
      <c r="F373" s="441" t="s">
        <v>4140</v>
      </c>
      <c r="G373" s="441" t="s">
        <v>4141</v>
      </c>
      <c r="H373" s="441" t="s">
        <v>4142</v>
      </c>
    </row>
    <row r="374" spans="1:8" ht="24" customHeight="1">
      <c r="A374" s="447" t="s">
        <v>4143</v>
      </c>
      <c r="B374" s="447" t="s">
        <v>4444</v>
      </c>
      <c r="C374" s="447" t="s">
        <v>4144</v>
      </c>
      <c r="D374" s="448" t="s">
        <v>3113</v>
      </c>
      <c r="E374" s="447" t="s">
        <v>3040</v>
      </c>
      <c r="F374" s="449">
        <v>1</v>
      </c>
      <c r="G374" s="450">
        <v>2.39</v>
      </c>
      <c r="H374" s="450">
        <f>ROUND((SUM(H375:H378)),2)</f>
        <v>2.39</v>
      </c>
    </row>
    <row r="375" spans="1:8" ht="39" customHeight="1">
      <c r="A375" s="443" t="s">
        <v>4259</v>
      </c>
      <c r="B375" s="443" t="s">
        <v>4287</v>
      </c>
      <c r="C375" s="443" t="s">
        <v>4155</v>
      </c>
      <c r="D375" s="444" t="s">
        <v>4288</v>
      </c>
      <c r="E375" s="443" t="s">
        <v>4262</v>
      </c>
      <c r="F375" s="445">
        <v>4.2999999999999997E-2</v>
      </c>
      <c r="G375" s="446">
        <v>3.09</v>
      </c>
      <c r="H375" s="446">
        <f t="shared" ref="H375:H378" si="40">ROUND((F375*G375),2)</f>
        <v>0.13</v>
      </c>
    </row>
    <row r="376" spans="1:8" ht="39" customHeight="1">
      <c r="A376" s="443" t="s">
        <v>4259</v>
      </c>
      <c r="B376" s="443" t="s">
        <v>4289</v>
      </c>
      <c r="C376" s="443" t="s">
        <v>4155</v>
      </c>
      <c r="D376" s="444" t="s">
        <v>4290</v>
      </c>
      <c r="E376" s="443" t="s">
        <v>4265</v>
      </c>
      <c r="F376" s="445">
        <v>2.5000000000000001E-2</v>
      </c>
      <c r="G376" s="446">
        <v>0.53</v>
      </c>
      <c r="H376" s="446">
        <f t="shared" si="40"/>
        <v>0.01</v>
      </c>
    </row>
    <row r="377" spans="1:8" ht="24" customHeight="1">
      <c r="A377" s="443" t="s">
        <v>4145</v>
      </c>
      <c r="B377" s="443" t="s">
        <v>4146</v>
      </c>
      <c r="C377" s="443" t="s">
        <v>4475</v>
      </c>
      <c r="D377" s="444" t="s">
        <v>4147</v>
      </c>
      <c r="E377" s="443" t="s">
        <v>2708</v>
      </c>
      <c r="F377" s="445">
        <v>0.09</v>
      </c>
      <c r="G377" s="446">
        <v>19.27</v>
      </c>
      <c r="H377" s="446">
        <f t="shared" si="40"/>
        <v>1.73</v>
      </c>
    </row>
    <row r="378" spans="1:8" ht="24" customHeight="1">
      <c r="A378" s="443" t="s">
        <v>4145</v>
      </c>
      <c r="B378" s="443" t="s">
        <v>4148</v>
      </c>
      <c r="C378" s="443" t="s">
        <v>4475</v>
      </c>
      <c r="D378" s="444" t="s">
        <v>4149</v>
      </c>
      <c r="E378" s="443" t="s">
        <v>2708</v>
      </c>
      <c r="F378" s="445">
        <v>4.4999999999999998E-2</v>
      </c>
      <c r="G378" s="446">
        <v>11.53</v>
      </c>
      <c r="H378" s="446">
        <f t="shared" si="40"/>
        <v>0.52</v>
      </c>
    </row>
    <row r="379" spans="1:8" ht="14.4" customHeight="1">
      <c r="A379" s="578" t="s">
        <v>4474</v>
      </c>
      <c r="B379" s="579"/>
      <c r="C379" s="579"/>
      <c r="D379" s="579"/>
      <c r="E379" s="579"/>
      <c r="F379" s="579"/>
      <c r="G379" s="580"/>
      <c r="H379" s="462">
        <f>ROUND((H374*1.2592),2)</f>
        <v>3.01</v>
      </c>
    </row>
    <row r="380" spans="1:8">
      <c r="A380" s="576" t="s">
        <v>4150</v>
      </c>
      <c r="B380" s="576"/>
      <c r="C380" s="576"/>
      <c r="D380" s="576"/>
      <c r="E380" s="576"/>
      <c r="F380" s="576"/>
      <c r="G380" s="576"/>
      <c r="H380" s="576"/>
    </row>
    <row r="381" spans="1:8" ht="15" thickBot="1">
      <c r="A381" s="575" t="s">
        <v>4291</v>
      </c>
      <c r="B381" s="575"/>
      <c r="C381" s="575"/>
      <c r="D381" s="575"/>
      <c r="E381" s="575"/>
      <c r="F381" s="575"/>
      <c r="G381" s="575"/>
      <c r="H381" s="575"/>
    </row>
    <row r="382" spans="1:8" ht="15" thickTop="1">
      <c r="A382" s="403"/>
      <c r="B382" s="403"/>
      <c r="C382" s="403"/>
      <c r="D382" s="403"/>
      <c r="E382" s="403"/>
      <c r="F382" s="439"/>
      <c r="G382" s="439"/>
      <c r="H382" s="439"/>
    </row>
    <row r="383" spans="1:8">
      <c r="A383" s="441" t="s">
        <v>4292</v>
      </c>
      <c r="B383" s="441" t="s">
        <v>4137</v>
      </c>
      <c r="C383" s="441" t="s">
        <v>4138</v>
      </c>
      <c r="D383" s="442" t="s">
        <v>4139</v>
      </c>
      <c r="E383" s="441" t="s">
        <v>2723</v>
      </c>
      <c r="F383" s="441" t="s">
        <v>4140</v>
      </c>
      <c r="G383" s="441" t="s">
        <v>4141</v>
      </c>
      <c r="H383" s="441" t="s">
        <v>4142</v>
      </c>
    </row>
    <row r="384" spans="1:8" ht="24" customHeight="1">
      <c r="A384" s="447" t="s">
        <v>4143</v>
      </c>
      <c r="B384" s="447" t="s">
        <v>4445</v>
      </c>
      <c r="C384" s="447" t="s">
        <v>4144</v>
      </c>
      <c r="D384" s="448" t="s">
        <v>3388</v>
      </c>
      <c r="E384" s="447" t="s">
        <v>3040</v>
      </c>
      <c r="F384" s="449">
        <v>1</v>
      </c>
      <c r="G384" s="450">
        <v>55.88</v>
      </c>
      <c r="H384" s="450">
        <f>ROUND((SUM(H385:H387)),2)</f>
        <v>55.88</v>
      </c>
    </row>
    <row r="385" spans="1:8" ht="24" customHeight="1">
      <c r="A385" s="443" t="s">
        <v>4145</v>
      </c>
      <c r="B385" s="443" t="s">
        <v>4146</v>
      </c>
      <c r="C385" s="443" t="s">
        <v>4475</v>
      </c>
      <c r="D385" s="444" t="s">
        <v>4147</v>
      </c>
      <c r="E385" s="443" t="s">
        <v>2708</v>
      </c>
      <c r="F385" s="445">
        <v>0.13333329999999999</v>
      </c>
      <c r="G385" s="446">
        <v>19.27</v>
      </c>
      <c r="H385" s="446">
        <f t="shared" ref="H385:H387" si="41">ROUND((F385*G385),2)</f>
        <v>2.57</v>
      </c>
    </row>
    <row r="386" spans="1:8" ht="24" customHeight="1">
      <c r="A386" s="443" t="s">
        <v>4145</v>
      </c>
      <c r="B386" s="443" t="s">
        <v>4148</v>
      </c>
      <c r="C386" s="443" t="s">
        <v>4475</v>
      </c>
      <c r="D386" s="444" t="s">
        <v>4149</v>
      </c>
      <c r="E386" s="443" t="s">
        <v>2708</v>
      </c>
      <c r="F386" s="445">
        <v>0.13333329999999999</v>
      </c>
      <c r="G386" s="446">
        <v>11.53</v>
      </c>
      <c r="H386" s="446">
        <f t="shared" si="41"/>
        <v>1.54</v>
      </c>
    </row>
    <row r="387" spans="1:8" ht="25.95" customHeight="1">
      <c r="A387" s="443" t="s">
        <v>4145</v>
      </c>
      <c r="B387" s="443" t="s">
        <v>4446</v>
      </c>
      <c r="C387" s="443" t="s">
        <v>4144</v>
      </c>
      <c r="D387" s="444" t="s">
        <v>3472</v>
      </c>
      <c r="E387" s="443" t="s">
        <v>3494</v>
      </c>
      <c r="F387" s="445">
        <v>7.14</v>
      </c>
      <c r="G387" s="446">
        <v>7.25</v>
      </c>
      <c r="H387" s="446">
        <f t="shared" si="41"/>
        <v>51.77</v>
      </c>
    </row>
    <row r="388" spans="1:8" ht="14.4" customHeight="1">
      <c r="A388" s="578" t="s">
        <v>4474</v>
      </c>
      <c r="B388" s="579"/>
      <c r="C388" s="579"/>
      <c r="D388" s="579"/>
      <c r="E388" s="579"/>
      <c r="F388" s="579"/>
      <c r="G388" s="580"/>
      <c r="H388" s="462">
        <f>ROUND((H384*1.2592),2)</f>
        <v>70.36</v>
      </c>
    </row>
    <row r="389" spans="1:8">
      <c r="A389" s="576" t="s">
        <v>4150</v>
      </c>
      <c r="B389" s="576"/>
      <c r="C389" s="576"/>
      <c r="D389" s="576"/>
      <c r="E389" s="576"/>
      <c r="F389" s="576"/>
      <c r="G389" s="576"/>
      <c r="H389" s="576"/>
    </row>
    <row r="390" spans="1:8" ht="15" thickBot="1">
      <c r="A390" s="575" t="s">
        <v>4293</v>
      </c>
      <c r="B390" s="575"/>
      <c r="C390" s="575"/>
      <c r="D390" s="575"/>
      <c r="E390" s="575"/>
      <c r="F390" s="575"/>
      <c r="G390" s="575"/>
      <c r="H390" s="575"/>
    </row>
    <row r="391" spans="1:8" ht="15" thickTop="1">
      <c r="A391" s="403"/>
      <c r="B391" s="403"/>
      <c r="C391" s="403"/>
      <c r="D391" s="403"/>
      <c r="E391" s="403"/>
      <c r="F391" s="439"/>
      <c r="G391" s="439"/>
      <c r="H391" s="439"/>
    </row>
    <row r="392" spans="1:8">
      <c r="A392" s="441" t="s">
        <v>4294</v>
      </c>
      <c r="B392" s="441" t="s">
        <v>4137</v>
      </c>
      <c r="C392" s="441" t="s">
        <v>4138</v>
      </c>
      <c r="D392" s="442" t="s">
        <v>4139</v>
      </c>
      <c r="E392" s="441" t="s">
        <v>2723</v>
      </c>
      <c r="F392" s="441" t="s">
        <v>4140</v>
      </c>
      <c r="G392" s="441" t="s">
        <v>4141</v>
      </c>
      <c r="H392" s="441" t="s">
        <v>4142</v>
      </c>
    </row>
    <row r="393" spans="1:8" ht="24" customHeight="1">
      <c r="A393" s="447" t="s">
        <v>4143</v>
      </c>
      <c r="B393" s="447" t="s">
        <v>4447</v>
      </c>
      <c r="C393" s="447" t="s">
        <v>4144</v>
      </c>
      <c r="D393" s="448" t="s">
        <v>4295</v>
      </c>
      <c r="E393" s="447" t="s">
        <v>4157</v>
      </c>
      <c r="F393" s="449">
        <v>1</v>
      </c>
      <c r="G393" s="450">
        <v>13.02</v>
      </c>
      <c r="H393" s="450">
        <f>ROUND((H394),2)</f>
        <v>13.02</v>
      </c>
    </row>
    <row r="394" spans="1:8" ht="24" customHeight="1">
      <c r="A394" s="443" t="s">
        <v>4145</v>
      </c>
      <c r="B394" s="443" t="s">
        <v>4158</v>
      </c>
      <c r="C394" s="443" t="s">
        <v>4475</v>
      </c>
      <c r="D394" s="444" t="s">
        <v>4159</v>
      </c>
      <c r="E394" s="443" t="s">
        <v>2708</v>
      </c>
      <c r="F394" s="445">
        <v>1</v>
      </c>
      <c r="G394" s="446">
        <v>13.02</v>
      </c>
      <c r="H394" s="446">
        <f t="shared" ref="H394" si="42">ROUND((F394*G394),2)</f>
        <v>13.02</v>
      </c>
    </row>
    <row r="395" spans="1:8" ht="15" thickBot="1">
      <c r="A395" s="578" t="s">
        <v>4474</v>
      </c>
      <c r="B395" s="579"/>
      <c r="C395" s="579"/>
      <c r="D395" s="579"/>
      <c r="E395" s="579"/>
      <c r="F395" s="579"/>
      <c r="G395" s="580"/>
      <c r="H395" s="462">
        <f>ROUND((H393*1.2592),2)</f>
        <v>16.39</v>
      </c>
    </row>
    <row r="396" spans="1:8" ht="15" thickTop="1">
      <c r="A396" s="403"/>
      <c r="B396" s="403"/>
      <c r="C396" s="403"/>
      <c r="D396" s="403"/>
      <c r="E396" s="403"/>
      <c r="F396" s="439"/>
      <c r="G396" s="439"/>
      <c r="H396" s="439"/>
    </row>
    <row r="397" spans="1:8">
      <c r="A397" s="441" t="s">
        <v>4296</v>
      </c>
      <c r="B397" s="441" t="s">
        <v>4137</v>
      </c>
      <c r="C397" s="441" t="s">
        <v>4138</v>
      </c>
      <c r="D397" s="442" t="s">
        <v>4139</v>
      </c>
      <c r="E397" s="441" t="s">
        <v>2723</v>
      </c>
      <c r="F397" s="441" t="s">
        <v>4140</v>
      </c>
      <c r="G397" s="441" t="s">
        <v>4141</v>
      </c>
      <c r="H397" s="441" t="s">
        <v>4142</v>
      </c>
    </row>
    <row r="398" spans="1:8" ht="25.95" customHeight="1">
      <c r="A398" s="447" t="s">
        <v>4143</v>
      </c>
      <c r="B398" s="447" t="s">
        <v>4448</v>
      </c>
      <c r="C398" s="447" t="s">
        <v>4144</v>
      </c>
      <c r="D398" s="448" t="s">
        <v>2834</v>
      </c>
      <c r="E398" s="447" t="s">
        <v>2489</v>
      </c>
      <c r="F398" s="449">
        <v>1</v>
      </c>
      <c r="G398" s="450">
        <v>26.81</v>
      </c>
      <c r="H398" s="450">
        <f>ROUND((H399+H400),2)</f>
        <v>26.81</v>
      </c>
    </row>
    <row r="399" spans="1:8" ht="24" customHeight="1">
      <c r="A399" s="443" t="s">
        <v>4145</v>
      </c>
      <c r="B399" s="443" t="s">
        <v>4148</v>
      </c>
      <c r="C399" s="443" t="s">
        <v>4475</v>
      </c>
      <c r="D399" s="444" t="s">
        <v>4149</v>
      </c>
      <c r="E399" s="443" t="s">
        <v>2708</v>
      </c>
      <c r="F399" s="445">
        <v>0.2</v>
      </c>
      <c r="G399" s="446">
        <v>11.53</v>
      </c>
      <c r="H399" s="446">
        <f>ROUND((F399*G399),2)</f>
        <v>2.31</v>
      </c>
    </row>
    <row r="400" spans="1:8" ht="25.95" customHeight="1">
      <c r="A400" s="443" t="s">
        <v>4145</v>
      </c>
      <c r="B400" s="443" t="s">
        <v>4449</v>
      </c>
      <c r="C400" s="443" t="s">
        <v>4144</v>
      </c>
      <c r="D400" s="444" t="s">
        <v>2839</v>
      </c>
      <c r="E400" s="443" t="s">
        <v>2489</v>
      </c>
      <c r="F400" s="445">
        <v>1</v>
      </c>
      <c r="G400" s="446">
        <v>24.5</v>
      </c>
      <c r="H400" s="446">
        <f t="shared" ref="H400" si="43">ROUND((F400*G400),2)</f>
        <v>24.5</v>
      </c>
    </row>
    <row r="401" spans="1:8" ht="14.4" customHeight="1">
      <c r="A401" s="578" t="s">
        <v>4474</v>
      </c>
      <c r="B401" s="579"/>
      <c r="C401" s="579"/>
      <c r="D401" s="579"/>
      <c r="E401" s="579"/>
      <c r="F401" s="579"/>
      <c r="G401" s="580"/>
      <c r="H401" s="462">
        <f>ROUND((H398*1.2592),2)</f>
        <v>33.76</v>
      </c>
    </row>
    <row r="402" spans="1:8">
      <c r="A402" s="576" t="s">
        <v>4150</v>
      </c>
      <c r="B402" s="576"/>
      <c r="C402" s="576"/>
      <c r="D402" s="576"/>
      <c r="E402" s="576"/>
      <c r="F402" s="576"/>
      <c r="G402" s="576"/>
      <c r="H402" s="576"/>
    </row>
    <row r="403" spans="1:8" ht="15" thickBot="1">
      <c r="A403" s="575" t="s">
        <v>4297</v>
      </c>
      <c r="B403" s="575"/>
      <c r="C403" s="575"/>
      <c r="D403" s="575"/>
      <c r="E403" s="575"/>
      <c r="F403" s="575"/>
      <c r="G403" s="575"/>
      <c r="H403" s="575"/>
    </row>
    <row r="404" spans="1:8" ht="15" thickTop="1">
      <c r="A404" s="403"/>
      <c r="B404" s="403"/>
      <c r="C404" s="403"/>
      <c r="D404" s="403"/>
      <c r="E404" s="403"/>
      <c r="F404" s="439"/>
      <c r="G404" s="439"/>
      <c r="H404" s="439"/>
    </row>
    <row r="405" spans="1:8">
      <c r="A405" s="441" t="s">
        <v>4298</v>
      </c>
      <c r="B405" s="441" t="s">
        <v>4137</v>
      </c>
      <c r="C405" s="441" t="s">
        <v>4138</v>
      </c>
      <c r="D405" s="442" t="s">
        <v>4139</v>
      </c>
      <c r="E405" s="441" t="s">
        <v>2723</v>
      </c>
      <c r="F405" s="441" t="s">
        <v>4140</v>
      </c>
      <c r="G405" s="441" t="s">
        <v>4141</v>
      </c>
      <c r="H405" s="441" t="s">
        <v>4142</v>
      </c>
    </row>
    <row r="406" spans="1:8" ht="25.95" customHeight="1">
      <c r="A406" s="447" t="s">
        <v>4143</v>
      </c>
      <c r="B406" s="447" t="s">
        <v>4450</v>
      </c>
      <c r="C406" s="447" t="s">
        <v>4144</v>
      </c>
      <c r="D406" s="448" t="s">
        <v>2835</v>
      </c>
      <c r="E406" s="447" t="s">
        <v>2489</v>
      </c>
      <c r="F406" s="449">
        <v>1</v>
      </c>
      <c r="G406" s="450">
        <v>19.809999999999999</v>
      </c>
      <c r="H406" s="450">
        <f>ROUND((H407+H408),2)</f>
        <v>19.809999999999999</v>
      </c>
    </row>
    <row r="407" spans="1:8" ht="24" customHeight="1">
      <c r="A407" s="443" t="s">
        <v>4145</v>
      </c>
      <c r="B407" s="443" t="s">
        <v>4148</v>
      </c>
      <c r="C407" s="443" t="s">
        <v>4475</v>
      </c>
      <c r="D407" s="444" t="s">
        <v>4149</v>
      </c>
      <c r="E407" s="443" t="s">
        <v>2708</v>
      </c>
      <c r="F407" s="445">
        <v>0.2</v>
      </c>
      <c r="G407" s="446">
        <v>11.53</v>
      </c>
      <c r="H407" s="446">
        <f>ROUND((F407*G407),2)</f>
        <v>2.31</v>
      </c>
    </row>
    <row r="408" spans="1:8" ht="25.95" customHeight="1">
      <c r="A408" s="443" t="s">
        <v>4145</v>
      </c>
      <c r="B408" s="443" t="s">
        <v>4451</v>
      </c>
      <c r="C408" s="443" t="s">
        <v>4144</v>
      </c>
      <c r="D408" s="444" t="s">
        <v>2852</v>
      </c>
      <c r="E408" s="443" t="s">
        <v>2489</v>
      </c>
      <c r="F408" s="445">
        <v>1</v>
      </c>
      <c r="G408" s="446">
        <v>17.5</v>
      </c>
      <c r="H408" s="446">
        <f t="shared" ref="H408" si="44">ROUND((F408*G408),2)</f>
        <v>17.5</v>
      </c>
    </row>
    <row r="409" spans="1:8" ht="14.4" customHeight="1">
      <c r="A409" s="578" t="s">
        <v>4474</v>
      </c>
      <c r="B409" s="579"/>
      <c r="C409" s="579"/>
      <c r="D409" s="579"/>
      <c r="E409" s="579"/>
      <c r="F409" s="579"/>
      <c r="G409" s="580"/>
      <c r="H409" s="462">
        <f>ROUND((H406*1.2592),2)</f>
        <v>24.94</v>
      </c>
    </row>
    <row r="410" spans="1:8">
      <c r="A410" s="576" t="s">
        <v>4150</v>
      </c>
      <c r="B410" s="576"/>
      <c r="C410" s="576"/>
      <c r="D410" s="576"/>
      <c r="E410" s="576"/>
      <c r="F410" s="576"/>
      <c r="G410" s="576"/>
      <c r="H410" s="576"/>
    </row>
    <row r="411" spans="1:8" ht="15" thickBot="1">
      <c r="A411" s="575" t="s">
        <v>4297</v>
      </c>
      <c r="B411" s="575"/>
      <c r="C411" s="575"/>
      <c r="D411" s="575"/>
      <c r="E411" s="575"/>
      <c r="F411" s="575"/>
      <c r="G411" s="575"/>
      <c r="H411" s="575"/>
    </row>
    <row r="412" spans="1:8" ht="15" thickTop="1">
      <c r="A412" s="403"/>
      <c r="B412" s="403"/>
      <c r="C412" s="403"/>
      <c r="D412" s="403"/>
      <c r="E412" s="403"/>
      <c r="F412" s="439"/>
      <c r="G412" s="439"/>
      <c r="H412" s="439"/>
    </row>
    <row r="413" spans="1:8">
      <c r="A413" s="441" t="s">
        <v>4299</v>
      </c>
      <c r="B413" s="441" t="s">
        <v>4137</v>
      </c>
      <c r="C413" s="441" t="s">
        <v>4138</v>
      </c>
      <c r="D413" s="442" t="s">
        <v>4139</v>
      </c>
      <c r="E413" s="441" t="s">
        <v>2723</v>
      </c>
      <c r="F413" s="441" t="s">
        <v>4140</v>
      </c>
      <c r="G413" s="441" t="s">
        <v>4141</v>
      </c>
      <c r="H413" s="441" t="s">
        <v>4142</v>
      </c>
    </row>
    <row r="414" spans="1:8" ht="24" customHeight="1">
      <c r="A414" s="447" t="s">
        <v>4143</v>
      </c>
      <c r="B414" s="447" t="s">
        <v>4452</v>
      </c>
      <c r="C414" s="447" t="s">
        <v>4144</v>
      </c>
      <c r="D414" s="448" t="s">
        <v>2868</v>
      </c>
      <c r="E414" s="447" t="s">
        <v>2489</v>
      </c>
      <c r="F414" s="449">
        <v>1</v>
      </c>
      <c r="G414" s="450">
        <v>205.24</v>
      </c>
      <c r="H414" s="450">
        <f>ROUND((H415+H416+H417),2)</f>
        <v>205.24</v>
      </c>
    </row>
    <row r="415" spans="1:8" ht="24" customHeight="1">
      <c r="A415" s="443" t="s">
        <v>4145</v>
      </c>
      <c r="B415" s="443" t="s">
        <v>4146</v>
      </c>
      <c r="C415" s="443" t="s">
        <v>4475</v>
      </c>
      <c r="D415" s="444" t="s">
        <v>4147</v>
      </c>
      <c r="E415" s="443" t="s">
        <v>2708</v>
      </c>
      <c r="F415" s="445">
        <v>0.5</v>
      </c>
      <c r="G415" s="446">
        <v>19.27</v>
      </c>
      <c r="H415" s="446">
        <f t="shared" ref="H415:H417" si="45">ROUND((F415*G415),2)</f>
        <v>9.64</v>
      </c>
    </row>
    <row r="416" spans="1:8" ht="24" customHeight="1">
      <c r="A416" s="443" t="s">
        <v>4145</v>
      </c>
      <c r="B416" s="443" t="s">
        <v>4148</v>
      </c>
      <c r="C416" s="443" t="s">
        <v>4475</v>
      </c>
      <c r="D416" s="444" t="s">
        <v>4149</v>
      </c>
      <c r="E416" s="443" t="s">
        <v>2708</v>
      </c>
      <c r="F416" s="445">
        <v>0.5</v>
      </c>
      <c r="G416" s="446">
        <v>11.53</v>
      </c>
      <c r="H416" s="446">
        <f t="shared" si="45"/>
        <v>5.77</v>
      </c>
    </row>
    <row r="417" spans="1:8" ht="39" customHeight="1">
      <c r="A417" s="443" t="s">
        <v>4145</v>
      </c>
      <c r="B417" s="443" t="s">
        <v>4300</v>
      </c>
      <c r="C417" s="443" t="s">
        <v>4155</v>
      </c>
      <c r="D417" s="444" t="s">
        <v>4301</v>
      </c>
      <c r="E417" s="443" t="s">
        <v>2477</v>
      </c>
      <c r="F417" s="445">
        <v>1</v>
      </c>
      <c r="G417" s="446">
        <v>189.83</v>
      </c>
      <c r="H417" s="446">
        <f t="shared" si="45"/>
        <v>189.83</v>
      </c>
    </row>
    <row r="418" spans="1:8" ht="15" customHeight="1" thickBot="1">
      <c r="A418" s="578" t="s">
        <v>4474</v>
      </c>
      <c r="B418" s="579"/>
      <c r="C418" s="579"/>
      <c r="D418" s="579"/>
      <c r="E418" s="579"/>
      <c r="F418" s="579"/>
      <c r="G418" s="580"/>
      <c r="H418" s="462">
        <f>ROUND((H414*1.2592),2)</f>
        <v>258.44</v>
      </c>
    </row>
    <row r="419" spans="1:8" ht="15" thickTop="1">
      <c r="A419" s="403"/>
      <c r="B419" s="403"/>
      <c r="C419" s="403"/>
      <c r="D419" s="403"/>
      <c r="E419" s="403"/>
      <c r="F419" s="439"/>
      <c r="G419" s="439"/>
      <c r="H419" s="439"/>
    </row>
    <row r="420" spans="1:8">
      <c r="A420" s="441" t="s">
        <v>4302</v>
      </c>
      <c r="B420" s="441" t="s">
        <v>4137</v>
      </c>
      <c r="C420" s="441" t="s">
        <v>4138</v>
      </c>
      <c r="D420" s="442" t="s">
        <v>4139</v>
      </c>
      <c r="E420" s="441" t="s">
        <v>2723</v>
      </c>
      <c r="F420" s="441" t="s">
        <v>4140</v>
      </c>
      <c r="G420" s="441" t="s">
        <v>4141</v>
      </c>
      <c r="H420" s="441" t="s">
        <v>4142</v>
      </c>
    </row>
    <row r="421" spans="1:8" ht="25.95" customHeight="1">
      <c r="A421" s="447" t="s">
        <v>4143</v>
      </c>
      <c r="B421" s="447" t="s">
        <v>4453</v>
      </c>
      <c r="C421" s="447" t="s">
        <v>4144</v>
      </c>
      <c r="D421" s="448" t="s">
        <v>2883</v>
      </c>
      <c r="E421" s="447" t="s">
        <v>2489</v>
      </c>
      <c r="F421" s="449">
        <v>1</v>
      </c>
      <c r="G421" s="450">
        <v>131.97</v>
      </c>
      <c r="H421" s="450">
        <f>ROUND((H422+H423+H424),2)</f>
        <v>131.97</v>
      </c>
    </row>
    <row r="422" spans="1:8" ht="24" customHeight="1">
      <c r="A422" s="443" t="s">
        <v>4145</v>
      </c>
      <c r="B422" s="443" t="s">
        <v>4148</v>
      </c>
      <c r="C422" s="443" t="s">
        <v>4475</v>
      </c>
      <c r="D422" s="444" t="s">
        <v>4149</v>
      </c>
      <c r="E422" s="443" t="s">
        <v>2708</v>
      </c>
      <c r="F422" s="445">
        <v>1</v>
      </c>
      <c r="G422" s="446">
        <v>11.53</v>
      </c>
      <c r="H422" s="446">
        <f t="shared" ref="H422:H424" si="46">ROUND((F422*G422),2)</f>
        <v>11.53</v>
      </c>
    </row>
    <row r="423" spans="1:8" ht="24" customHeight="1">
      <c r="A423" s="443" t="s">
        <v>4145</v>
      </c>
      <c r="B423" s="443" t="s">
        <v>4164</v>
      </c>
      <c r="C423" s="443" t="s">
        <v>4475</v>
      </c>
      <c r="D423" s="444" t="s">
        <v>4165</v>
      </c>
      <c r="E423" s="443" t="s">
        <v>2708</v>
      </c>
      <c r="F423" s="445">
        <v>1</v>
      </c>
      <c r="G423" s="446">
        <v>19.27</v>
      </c>
      <c r="H423" s="446">
        <f t="shared" si="46"/>
        <v>19.27</v>
      </c>
    </row>
    <row r="424" spans="1:8" ht="24" customHeight="1">
      <c r="A424" s="443" t="s">
        <v>4145</v>
      </c>
      <c r="B424" s="443" t="s">
        <v>4454</v>
      </c>
      <c r="C424" s="443" t="s">
        <v>4144</v>
      </c>
      <c r="D424" s="444" t="s">
        <v>4303</v>
      </c>
      <c r="E424" s="443" t="s">
        <v>2489</v>
      </c>
      <c r="F424" s="445">
        <v>1</v>
      </c>
      <c r="G424" s="446">
        <v>101.17</v>
      </c>
      <c r="H424" s="446">
        <f t="shared" si="46"/>
        <v>101.17</v>
      </c>
    </row>
    <row r="425" spans="1:8" ht="15" customHeight="1" thickBot="1">
      <c r="A425" s="578" t="s">
        <v>4474</v>
      </c>
      <c r="B425" s="579"/>
      <c r="C425" s="579"/>
      <c r="D425" s="579"/>
      <c r="E425" s="579"/>
      <c r="F425" s="579"/>
      <c r="G425" s="580"/>
      <c r="H425" s="462">
        <f>ROUND((H421*1.2592),2)</f>
        <v>166.18</v>
      </c>
    </row>
    <row r="426" spans="1:8" ht="15" thickTop="1">
      <c r="A426" s="403"/>
      <c r="B426" s="403"/>
      <c r="C426" s="403"/>
      <c r="D426" s="403"/>
      <c r="E426" s="403"/>
      <c r="F426" s="439"/>
      <c r="G426" s="439"/>
      <c r="H426" s="439"/>
    </row>
    <row r="427" spans="1:8">
      <c r="A427" s="441" t="s">
        <v>4304</v>
      </c>
      <c r="B427" s="441" t="s">
        <v>4137</v>
      </c>
      <c r="C427" s="441" t="s">
        <v>4138</v>
      </c>
      <c r="D427" s="442" t="s">
        <v>4139</v>
      </c>
      <c r="E427" s="441" t="s">
        <v>2723</v>
      </c>
      <c r="F427" s="441" t="s">
        <v>4140</v>
      </c>
      <c r="G427" s="441" t="s">
        <v>4141</v>
      </c>
      <c r="H427" s="441" t="s">
        <v>4142</v>
      </c>
    </row>
    <row r="428" spans="1:8" ht="52.05" customHeight="1">
      <c r="A428" s="447" t="s">
        <v>4143</v>
      </c>
      <c r="B428" s="447" t="s">
        <v>4455</v>
      </c>
      <c r="C428" s="447" t="s">
        <v>4144</v>
      </c>
      <c r="D428" s="448" t="s">
        <v>3297</v>
      </c>
      <c r="E428" s="447" t="s">
        <v>2477</v>
      </c>
      <c r="F428" s="449">
        <v>1</v>
      </c>
      <c r="G428" s="450">
        <v>28.5</v>
      </c>
      <c r="H428" s="450">
        <f>ROUND((H429+H430),2)</f>
        <v>28.5</v>
      </c>
    </row>
    <row r="429" spans="1:8" ht="24" customHeight="1">
      <c r="A429" s="443" t="s">
        <v>4145</v>
      </c>
      <c r="B429" s="443" t="s">
        <v>4158</v>
      </c>
      <c r="C429" s="443" t="s">
        <v>4475</v>
      </c>
      <c r="D429" s="444" t="s">
        <v>4159</v>
      </c>
      <c r="E429" s="443" t="s">
        <v>2708</v>
      </c>
      <c r="F429" s="445">
        <v>0.2</v>
      </c>
      <c r="G429" s="446">
        <v>13.02</v>
      </c>
      <c r="H429" s="446">
        <f t="shared" ref="H429:H430" si="47">ROUND((F429*G429),2)</f>
        <v>2.6</v>
      </c>
    </row>
    <row r="430" spans="1:8" ht="52.05" customHeight="1">
      <c r="A430" s="443" t="s">
        <v>4145</v>
      </c>
      <c r="B430" s="443" t="s">
        <v>4305</v>
      </c>
      <c r="C430" s="443" t="s">
        <v>4155</v>
      </c>
      <c r="D430" s="444" t="s">
        <v>3297</v>
      </c>
      <c r="E430" s="443" t="s">
        <v>2477</v>
      </c>
      <c r="F430" s="445">
        <v>1</v>
      </c>
      <c r="G430" s="446">
        <v>25.9</v>
      </c>
      <c r="H430" s="446">
        <f t="shared" si="47"/>
        <v>25.9</v>
      </c>
    </row>
    <row r="431" spans="1:8" ht="14.4" customHeight="1">
      <c r="A431" s="578" t="s">
        <v>4474</v>
      </c>
      <c r="B431" s="579"/>
      <c r="C431" s="579"/>
      <c r="D431" s="579"/>
      <c r="E431" s="579"/>
      <c r="F431" s="579"/>
      <c r="G431" s="580"/>
      <c r="H431" s="462">
        <f>ROUND((H428*1.2592),2)</f>
        <v>35.89</v>
      </c>
    </row>
    <row r="432" spans="1:8">
      <c r="A432" s="576" t="s">
        <v>4150</v>
      </c>
      <c r="B432" s="576"/>
      <c r="C432" s="576"/>
      <c r="D432" s="576"/>
      <c r="E432" s="576"/>
      <c r="F432" s="576"/>
      <c r="G432" s="576"/>
      <c r="H432" s="576"/>
    </row>
    <row r="433" spans="1:8" ht="15" thickBot="1">
      <c r="A433" s="575" t="s">
        <v>4306</v>
      </c>
      <c r="B433" s="575"/>
      <c r="C433" s="575"/>
      <c r="D433" s="575"/>
      <c r="E433" s="575"/>
      <c r="F433" s="575"/>
      <c r="G433" s="575"/>
      <c r="H433" s="575"/>
    </row>
    <row r="434" spans="1:8" ht="15" thickTop="1">
      <c r="A434" s="403"/>
      <c r="B434" s="403"/>
      <c r="C434" s="403"/>
      <c r="D434" s="403"/>
      <c r="E434" s="403"/>
      <c r="F434" s="439"/>
      <c r="G434" s="439"/>
      <c r="H434" s="439"/>
    </row>
    <row r="435" spans="1:8">
      <c r="A435" s="441" t="s">
        <v>4307</v>
      </c>
      <c r="B435" s="441" t="s">
        <v>4137</v>
      </c>
      <c r="C435" s="441" t="s">
        <v>4138</v>
      </c>
      <c r="D435" s="442" t="s">
        <v>4139</v>
      </c>
      <c r="E435" s="441" t="s">
        <v>2723</v>
      </c>
      <c r="F435" s="441" t="s">
        <v>4140</v>
      </c>
      <c r="G435" s="441" t="s">
        <v>4141</v>
      </c>
      <c r="H435" s="441" t="s">
        <v>4142</v>
      </c>
    </row>
    <row r="436" spans="1:8" ht="52.05" customHeight="1">
      <c r="A436" s="447" t="s">
        <v>4143</v>
      </c>
      <c r="B436" s="447" t="s">
        <v>4456</v>
      </c>
      <c r="C436" s="447" t="s">
        <v>4144</v>
      </c>
      <c r="D436" s="448" t="s">
        <v>3300</v>
      </c>
      <c r="E436" s="447" t="s">
        <v>2489</v>
      </c>
      <c r="F436" s="449">
        <v>1</v>
      </c>
      <c r="G436" s="450">
        <v>18.079999999999998</v>
      </c>
      <c r="H436" s="450">
        <f>ROUND((H437+H438),2)</f>
        <v>18.079999999999998</v>
      </c>
    </row>
    <row r="437" spans="1:8" ht="24" customHeight="1">
      <c r="A437" s="443" t="s">
        <v>4145</v>
      </c>
      <c r="B437" s="443" t="s">
        <v>4158</v>
      </c>
      <c r="C437" s="443" t="s">
        <v>4475</v>
      </c>
      <c r="D437" s="444" t="s">
        <v>4159</v>
      </c>
      <c r="E437" s="443" t="s">
        <v>2708</v>
      </c>
      <c r="F437" s="445">
        <v>0.2</v>
      </c>
      <c r="G437" s="446">
        <v>13.02</v>
      </c>
      <c r="H437" s="446">
        <f t="shared" ref="H437:H438" si="48">ROUND((F437*G437),2)</f>
        <v>2.6</v>
      </c>
    </row>
    <row r="438" spans="1:8" ht="52.05" customHeight="1">
      <c r="A438" s="443" t="s">
        <v>4145</v>
      </c>
      <c r="B438" s="443" t="s">
        <v>4308</v>
      </c>
      <c r="C438" s="443" t="s">
        <v>4155</v>
      </c>
      <c r="D438" s="444" t="s">
        <v>3300</v>
      </c>
      <c r="E438" s="443" t="s">
        <v>2477</v>
      </c>
      <c r="F438" s="445">
        <v>1</v>
      </c>
      <c r="G438" s="446">
        <v>15.48</v>
      </c>
      <c r="H438" s="446">
        <f t="shared" si="48"/>
        <v>15.48</v>
      </c>
    </row>
    <row r="439" spans="1:8" ht="14.4" customHeight="1">
      <c r="A439" s="578" t="s">
        <v>4474</v>
      </c>
      <c r="B439" s="579"/>
      <c r="C439" s="579"/>
      <c r="D439" s="579"/>
      <c r="E439" s="579"/>
      <c r="F439" s="579"/>
      <c r="G439" s="580"/>
      <c r="H439" s="462">
        <f>ROUND((H436*1.2592),2)</f>
        <v>22.77</v>
      </c>
    </row>
    <row r="440" spans="1:8">
      <c r="A440" s="576" t="s">
        <v>4150</v>
      </c>
      <c r="B440" s="576"/>
      <c r="C440" s="576"/>
      <c r="D440" s="576"/>
      <c r="E440" s="576"/>
      <c r="F440" s="576"/>
      <c r="G440" s="576"/>
      <c r="H440" s="576"/>
    </row>
    <row r="441" spans="1:8" ht="15" thickBot="1">
      <c r="A441" s="575" t="s">
        <v>4306</v>
      </c>
      <c r="B441" s="575"/>
      <c r="C441" s="575"/>
      <c r="D441" s="575"/>
      <c r="E441" s="575"/>
      <c r="F441" s="575"/>
      <c r="G441" s="575"/>
      <c r="H441" s="575"/>
    </row>
    <row r="442" spans="1:8" ht="15" thickTop="1">
      <c r="A442" s="403"/>
      <c r="B442" s="403"/>
      <c r="C442" s="403"/>
      <c r="D442" s="403"/>
      <c r="E442" s="403"/>
      <c r="F442" s="439"/>
      <c r="G442" s="439"/>
      <c r="H442" s="439"/>
    </row>
    <row r="443" spans="1:8">
      <c r="A443" s="441" t="s">
        <v>4309</v>
      </c>
      <c r="B443" s="441" t="s">
        <v>4137</v>
      </c>
      <c r="C443" s="441" t="s">
        <v>4138</v>
      </c>
      <c r="D443" s="442" t="s">
        <v>4139</v>
      </c>
      <c r="E443" s="441" t="s">
        <v>2723</v>
      </c>
      <c r="F443" s="441" t="s">
        <v>4140</v>
      </c>
      <c r="G443" s="441" t="s">
        <v>4141</v>
      </c>
      <c r="H443" s="441" t="s">
        <v>4142</v>
      </c>
    </row>
    <row r="444" spans="1:8" ht="39.6">
      <c r="A444" s="447" t="s">
        <v>4143</v>
      </c>
      <c r="B444" s="447" t="s">
        <v>4457</v>
      </c>
      <c r="C444" s="447" t="s">
        <v>4144</v>
      </c>
      <c r="D444" s="448" t="s">
        <v>3307</v>
      </c>
      <c r="E444" s="447" t="s">
        <v>2489</v>
      </c>
      <c r="F444" s="449">
        <v>1</v>
      </c>
      <c r="G444" s="450">
        <v>130.93</v>
      </c>
      <c r="H444" s="450">
        <f>ROUND((H445+H446),2)</f>
        <v>130.93</v>
      </c>
    </row>
    <row r="445" spans="1:8" ht="39.6">
      <c r="A445" s="443" t="s">
        <v>4145</v>
      </c>
      <c r="B445" s="443" t="s">
        <v>4487</v>
      </c>
      <c r="C445" s="443" t="s">
        <v>4144</v>
      </c>
      <c r="D445" s="444" t="s">
        <v>3307</v>
      </c>
      <c r="E445" s="443" t="s">
        <v>3056</v>
      </c>
      <c r="F445" s="445">
        <v>1</v>
      </c>
      <c r="G445" s="446">
        <v>128.33000000000001</v>
      </c>
      <c r="H445" s="446">
        <f t="shared" ref="H445:H446" si="49">ROUND((F445*G445),2)</f>
        <v>128.33000000000001</v>
      </c>
    </row>
    <row r="446" spans="1:8">
      <c r="A446" s="443" t="s">
        <v>4145</v>
      </c>
      <c r="B446" s="443" t="s">
        <v>4158</v>
      </c>
      <c r="C446" s="443" t="s">
        <v>4475</v>
      </c>
      <c r="D446" s="444" t="s">
        <v>4159</v>
      </c>
      <c r="E446" s="443" t="s">
        <v>2708</v>
      </c>
      <c r="F446" s="445">
        <v>0.2</v>
      </c>
      <c r="G446" s="446">
        <v>13.02</v>
      </c>
      <c r="H446" s="446">
        <f t="shared" si="49"/>
        <v>2.6</v>
      </c>
    </row>
    <row r="447" spans="1:8" ht="14.4" customHeight="1">
      <c r="A447" s="578" t="s">
        <v>4474</v>
      </c>
      <c r="B447" s="579"/>
      <c r="C447" s="579"/>
      <c r="D447" s="579"/>
      <c r="E447" s="579"/>
      <c r="F447" s="579"/>
      <c r="G447" s="580"/>
      <c r="H447" s="462">
        <f>ROUND((H444*1.2592),2)</f>
        <v>164.87</v>
      </c>
    </row>
    <row r="448" spans="1:8">
      <c r="A448" s="576" t="s">
        <v>4150</v>
      </c>
      <c r="B448" s="576"/>
      <c r="C448" s="576"/>
      <c r="D448" s="576"/>
      <c r="E448" s="576"/>
      <c r="F448" s="576"/>
      <c r="G448" s="576"/>
      <c r="H448" s="576"/>
    </row>
    <row r="449" spans="1:8" ht="15" thickBot="1">
      <c r="A449" s="575" t="s">
        <v>4310</v>
      </c>
      <c r="B449" s="575"/>
      <c r="C449" s="575"/>
      <c r="D449" s="575"/>
      <c r="E449" s="575"/>
      <c r="F449" s="575"/>
      <c r="G449" s="575"/>
      <c r="H449" s="575"/>
    </row>
    <row r="450" spans="1:8" ht="15" thickTop="1">
      <c r="A450" s="403"/>
      <c r="B450" s="403"/>
      <c r="C450" s="403"/>
      <c r="D450" s="403"/>
      <c r="E450" s="403"/>
      <c r="F450" s="439"/>
      <c r="G450" s="439"/>
      <c r="H450" s="439"/>
    </row>
    <row r="451" spans="1:8">
      <c r="A451" s="441" t="s">
        <v>4311</v>
      </c>
      <c r="B451" s="441" t="s">
        <v>4137</v>
      </c>
      <c r="C451" s="441" t="s">
        <v>4138</v>
      </c>
      <c r="D451" s="442" t="s">
        <v>4139</v>
      </c>
      <c r="E451" s="441" t="s">
        <v>2723</v>
      </c>
      <c r="F451" s="441" t="s">
        <v>4140</v>
      </c>
      <c r="G451" s="441" t="s">
        <v>4141</v>
      </c>
      <c r="H451" s="441" t="s">
        <v>4142</v>
      </c>
    </row>
    <row r="452" spans="1:8" ht="24" customHeight="1">
      <c r="A452" s="447" t="s">
        <v>4143</v>
      </c>
      <c r="B452" s="447" t="s">
        <v>4458</v>
      </c>
      <c r="C452" s="447" t="s">
        <v>4144</v>
      </c>
      <c r="D452" s="448" t="s">
        <v>4312</v>
      </c>
      <c r="E452" s="447" t="s">
        <v>2489</v>
      </c>
      <c r="F452" s="449">
        <v>1</v>
      </c>
      <c r="G452" s="450">
        <v>3.63</v>
      </c>
      <c r="H452" s="450">
        <f>ROUND((H453+H454+H455+H456+H457+H458+H459),2)</f>
        <v>3.63</v>
      </c>
    </row>
    <row r="453" spans="1:8" ht="24" customHeight="1">
      <c r="A453" s="443" t="s">
        <v>4145</v>
      </c>
      <c r="B453" s="443" t="s">
        <v>4313</v>
      </c>
      <c r="C453" s="443" t="s">
        <v>4475</v>
      </c>
      <c r="D453" s="444" t="s">
        <v>4314</v>
      </c>
      <c r="E453" s="443" t="s">
        <v>2708</v>
      </c>
      <c r="F453" s="445">
        <v>1.7600000000000001E-3</v>
      </c>
      <c r="G453" s="446">
        <v>11.98</v>
      </c>
      <c r="H453" s="446">
        <f t="shared" ref="H453:H459" si="50">ROUND((F453*G453),2)</f>
        <v>0.02</v>
      </c>
    </row>
    <row r="454" spans="1:8" ht="24" customHeight="1">
      <c r="A454" s="443" t="s">
        <v>4145</v>
      </c>
      <c r="B454" s="443" t="s">
        <v>4148</v>
      </c>
      <c r="C454" s="443" t="s">
        <v>4475</v>
      </c>
      <c r="D454" s="444" t="s">
        <v>4149</v>
      </c>
      <c r="E454" s="443" t="s">
        <v>2708</v>
      </c>
      <c r="F454" s="445">
        <v>2.0899999999999998E-2</v>
      </c>
      <c r="G454" s="446">
        <v>11.53</v>
      </c>
      <c r="H454" s="446">
        <f t="shared" si="50"/>
        <v>0.24</v>
      </c>
    </row>
    <row r="455" spans="1:8" ht="24" customHeight="1">
      <c r="A455" s="443" t="s">
        <v>4145</v>
      </c>
      <c r="B455" s="443" t="s">
        <v>4315</v>
      </c>
      <c r="C455" s="443" t="s">
        <v>4230</v>
      </c>
      <c r="D455" s="444" t="s">
        <v>4316</v>
      </c>
      <c r="E455" s="443" t="s">
        <v>4163</v>
      </c>
      <c r="F455" s="445">
        <v>0.22</v>
      </c>
      <c r="G455" s="446">
        <v>0.28000000000000003</v>
      </c>
      <c r="H455" s="446">
        <f t="shared" si="50"/>
        <v>0.06</v>
      </c>
    </row>
    <row r="456" spans="1:8" ht="24" customHeight="1">
      <c r="A456" s="443" t="s">
        <v>4145</v>
      </c>
      <c r="B456" s="443" t="s">
        <v>4317</v>
      </c>
      <c r="C456" s="443" t="s">
        <v>4475</v>
      </c>
      <c r="D456" s="444" t="s">
        <v>4318</v>
      </c>
      <c r="E456" s="443" t="s">
        <v>4163</v>
      </c>
      <c r="F456" s="445">
        <v>5.4999999999999997E-3</v>
      </c>
      <c r="G456" s="446">
        <v>4.3099999999999996</v>
      </c>
      <c r="H456" s="446">
        <f t="shared" si="50"/>
        <v>0.02</v>
      </c>
    </row>
    <row r="457" spans="1:8" ht="24" customHeight="1">
      <c r="A457" s="443" t="s">
        <v>4145</v>
      </c>
      <c r="B457" s="443" t="s">
        <v>4319</v>
      </c>
      <c r="C457" s="443" t="s">
        <v>4475</v>
      </c>
      <c r="D457" s="444" t="s">
        <v>4320</v>
      </c>
      <c r="E457" s="443" t="s">
        <v>4163</v>
      </c>
      <c r="F457" s="445">
        <v>5.4999999999999997E-3</v>
      </c>
      <c r="G457" s="446">
        <v>0.16</v>
      </c>
      <c r="H457" s="446">
        <f t="shared" si="50"/>
        <v>0</v>
      </c>
    </row>
    <row r="458" spans="1:8" ht="39" customHeight="1">
      <c r="A458" s="443" t="s">
        <v>4145</v>
      </c>
      <c r="B458" s="443" t="s">
        <v>4321</v>
      </c>
      <c r="C458" s="443" t="s">
        <v>4155</v>
      </c>
      <c r="D458" s="444" t="s">
        <v>4322</v>
      </c>
      <c r="E458" s="443" t="s">
        <v>2477</v>
      </c>
      <c r="F458" s="445">
        <v>1</v>
      </c>
      <c r="G458" s="446">
        <v>2.2999999999999998</v>
      </c>
      <c r="H458" s="446">
        <f t="shared" si="50"/>
        <v>2.2999999999999998</v>
      </c>
    </row>
    <row r="459" spans="1:8" ht="24" customHeight="1">
      <c r="A459" s="443" t="s">
        <v>4145</v>
      </c>
      <c r="B459" s="443" t="s">
        <v>4459</v>
      </c>
      <c r="C459" s="443" t="s">
        <v>4144</v>
      </c>
      <c r="D459" s="444" t="s">
        <v>3489</v>
      </c>
      <c r="E459" s="443" t="s">
        <v>3494</v>
      </c>
      <c r="F459" s="445">
        <v>0.5675</v>
      </c>
      <c r="G459" s="446">
        <v>1.75</v>
      </c>
      <c r="H459" s="446">
        <f t="shared" si="50"/>
        <v>0.99</v>
      </c>
    </row>
    <row r="460" spans="1:8" ht="14.4" customHeight="1">
      <c r="A460" s="578" t="s">
        <v>4474</v>
      </c>
      <c r="B460" s="579"/>
      <c r="C460" s="579"/>
      <c r="D460" s="579"/>
      <c r="E460" s="579"/>
      <c r="F460" s="579"/>
      <c r="G460" s="580"/>
      <c r="H460" s="462">
        <f>ROUND((H452*1.2592),2)</f>
        <v>4.57</v>
      </c>
    </row>
    <row r="461" spans="1:8">
      <c r="A461" s="576" t="s">
        <v>4150</v>
      </c>
      <c r="B461" s="576"/>
      <c r="C461" s="576"/>
      <c r="D461" s="576"/>
      <c r="E461" s="576"/>
      <c r="F461" s="576"/>
      <c r="G461" s="576"/>
      <c r="H461" s="576"/>
    </row>
    <row r="462" spans="1:8" ht="44.4" customHeight="1" thickBot="1">
      <c r="A462" s="575" t="s">
        <v>4323</v>
      </c>
      <c r="B462" s="575"/>
      <c r="C462" s="575"/>
      <c r="D462" s="575"/>
      <c r="E462" s="575"/>
      <c r="F462" s="575"/>
      <c r="G462" s="575"/>
      <c r="H462" s="575"/>
    </row>
    <row r="463" spans="1:8" ht="15" thickTop="1">
      <c r="A463" s="403"/>
      <c r="B463" s="403"/>
      <c r="C463" s="403"/>
      <c r="D463" s="403"/>
      <c r="E463" s="403"/>
      <c r="F463" s="439"/>
      <c r="G463" s="439"/>
      <c r="H463" s="439"/>
    </row>
    <row r="464" spans="1:8">
      <c r="A464" s="441" t="s">
        <v>4324</v>
      </c>
      <c r="B464" s="441" t="s">
        <v>4137</v>
      </c>
      <c r="C464" s="441" t="s">
        <v>4138</v>
      </c>
      <c r="D464" s="442" t="s">
        <v>4139</v>
      </c>
      <c r="E464" s="441" t="s">
        <v>2723</v>
      </c>
      <c r="F464" s="441" t="s">
        <v>4140</v>
      </c>
      <c r="G464" s="441" t="s">
        <v>4141</v>
      </c>
      <c r="H464" s="441" t="s">
        <v>4142</v>
      </c>
    </row>
    <row r="465" spans="1:8" ht="24" customHeight="1">
      <c r="A465" s="447" t="s">
        <v>4143</v>
      </c>
      <c r="B465" s="447" t="s">
        <v>4460</v>
      </c>
      <c r="C465" s="447" t="s">
        <v>4144</v>
      </c>
      <c r="D465" s="448" t="s">
        <v>3324</v>
      </c>
      <c r="E465" s="447" t="s">
        <v>3040</v>
      </c>
      <c r="F465" s="449">
        <v>1</v>
      </c>
      <c r="G465" s="450">
        <v>20.28</v>
      </c>
      <c r="H465" s="450">
        <f>ROUND((H466+H467+H468+H469+H470),2)</f>
        <v>20.28</v>
      </c>
    </row>
    <row r="466" spans="1:8" ht="24" customHeight="1">
      <c r="A466" s="443" t="s">
        <v>4145</v>
      </c>
      <c r="B466" s="443" t="s">
        <v>4313</v>
      </c>
      <c r="C466" s="443" t="s">
        <v>4475</v>
      </c>
      <c r="D466" s="444" t="s">
        <v>4314</v>
      </c>
      <c r="E466" s="443" t="s">
        <v>2708</v>
      </c>
      <c r="F466" s="445">
        <v>0.1191</v>
      </c>
      <c r="G466" s="446">
        <v>11.98</v>
      </c>
      <c r="H466" s="446">
        <f t="shared" ref="H466:H470" si="51">ROUND((F466*G466),2)</f>
        <v>1.43</v>
      </c>
    </row>
    <row r="467" spans="1:8" ht="24" customHeight="1">
      <c r="A467" s="443" t="s">
        <v>4145</v>
      </c>
      <c r="B467" s="443" t="s">
        <v>4148</v>
      </c>
      <c r="C467" s="443" t="s">
        <v>4475</v>
      </c>
      <c r="D467" s="444" t="s">
        <v>4149</v>
      </c>
      <c r="E467" s="443" t="s">
        <v>2708</v>
      </c>
      <c r="F467" s="445">
        <v>0.30330000000000001</v>
      </c>
      <c r="G467" s="446">
        <v>11.53</v>
      </c>
      <c r="H467" s="446">
        <f t="shared" si="51"/>
        <v>3.5</v>
      </c>
    </row>
    <row r="468" spans="1:8" ht="25.95" customHeight="1">
      <c r="A468" s="443" t="s">
        <v>4145</v>
      </c>
      <c r="B468" s="443" t="s">
        <v>4325</v>
      </c>
      <c r="C468" s="443" t="s">
        <v>4155</v>
      </c>
      <c r="D468" s="444" t="s">
        <v>4326</v>
      </c>
      <c r="E468" s="443" t="s">
        <v>3040</v>
      </c>
      <c r="F468" s="445">
        <v>1</v>
      </c>
      <c r="G468" s="446">
        <v>13.25</v>
      </c>
      <c r="H468" s="446">
        <f t="shared" si="51"/>
        <v>13.25</v>
      </c>
    </row>
    <row r="469" spans="1:8" ht="24" customHeight="1">
      <c r="A469" s="443" t="s">
        <v>4145</v>
      </c>
      <c r="B469" s="443" t="s">
        <v>4327</v>
      </c>
      <c r="C469" s="443" t="s">
        <v>4475</v>
      </c>
      <c r="D469" s="444" t="s">
        <v>4328</v>
      </c>
      <c r="E469" s="443" t="s">
        <v>2894</v>
      </c>
      <c r="F469" s="445">
        <v>0.03</v>
      </c>
      <c r="G469" s="446">
        <v>27.14</v>
      </c>
      <c r="H469" s="446">
        <f t="shared" si="51"/>
        <v>0.81</v>
      </c>
    </row>
    <row r="470" spans="1:8" ht="24" customHeight="1">
      <c r="A470" s="443" t="s">
        <v>4145</v>
      </c>
      <c r="B470" s="443" t="s">
        <v>4317</v>
      </c>
      <c r="C470" s="443" t="s">
        <v>4475</v>
      </c>
      <c r="D470" s="444" t="s">
        <v>4318</v>
      </c>
      <c r="E470" s="443" t="s">
        <v>4163</v>
      </c>
      <c r="F470" s="445">
        <v>0.3</v>
      </c>
      <c r="G470" s="446">
        <v>4.3099999999999996</v>
      </c>
      <c r="H470" s="446">
        <f t="shared" si="51"/>
        <v>1.29</v>
      </c>
    </row>
    <row r="471" spans="1:8" ht="14.4" customHeight="1">
      <c r="A471" s="578" t="s">
        <v>4474</v>
      </c>
      <c r="B471" s="579"/>
      <c r="C471" s="579"/>
      <c r="D471" s="579"/>
      <c r="E471" s="579"/>
      <c r="F471" s="579"/>
      <c r="G471" s="580"/>
      <c r="H471" s="462">
        <f>ROUND((H465*1.2592),2)</f>
        <v>25.54</v>
      </c>
    </row>
    <row r="472" spans="1:8">
      <c r="A472" s="576" t="s">
        <v>4150</v>
      </c>
      <c r="B472" s="576"/>
      <c r="C472" s="576"/>
      <c r="D472" s="576"/>
      <c r="E472" s="576"/>
      <c r="F472" s="576"/>
      <c r="G472" s="576"/>
      <c r="H472" s="576"/>
    </row>
    <row r="473" spans="1:8" ht="15" thickBot="1">
      <c r="A473" s="575" t="s">
        <v>4329</v>
      </c>
      <c r="B473" s="575"/>
      <c r="C473" s="575"/>
      <c r="D473" s="575"/>
      <c r="E473" s="575"/>
      <c r="F473" s="575"/>
      <c r="G473" s="575"/>
      <c r="H473" s="575"/>
    </row>
    <row r="474" spans="1:8" ht="15" thickTop="1">
      <c r="A474" s="403"/>
      <c r="B474" s="403"/>
      <c r="C474" s="403"/>
      <c r="D474" s="403"/>
      <c r="E474" s="403"/>
      <c r="F474" s="439"/>
      <c r="G474" s="439"/>
      <c r="H474" s="439"/>
    </row>
    <row r="475" spans="1:8">
      <c r="A475" s="441" t="s">
        <v>4330</v>
      </c>
      <c r="B475" s="441" t="s">
        <v>4137</v>
      </c>
      <c r="C475" s="441" t="s">
        <v>4138</v>
      </c>
      <c r="D475" s="442" t="s">
        <v>4139</v>
      </c>
      <c r="E475" s="441" t="s">
        <v>2723</v>
      </c>
      <c r="F475" s="441" t="s">
        <v>4140</v>
      </c>
      <c r="G475" s="441" t="s">
        <v>4141</v>
      </c>
      <c r="H475" s="441" t="s">
        <v>4142</v>
      </c>
    </row>
    <row r="476" spans="1:8" ht="24" customHeight="1">
      <c r="A476" s="447" t="s">
        <v>4143</v>
      </c>
      <c r="B476" s="447" t="s">
        <v>4461</v>
      </c>
      <c r="C476" s="447" t="s">
        <v>4144</v>
      </c>
      <c r="D476" s="448" t="s">
        <v>3231</v>
      </c>
      <c r="E476" s="447" t="s">
        <v>2487</v>
      </c>
      <c r="F476" s="449">
        <v>1</v>
      </c>
      <c r="G476" s="450">
        <f>H476</f>
        <v>9.52</v>
      </c>
      <c r="H476" s="450">
        <f>ROUND((H477+H478),2)</f>
        <v>9.52</v>
      </c>
    </row>
    <row r="477" spans="1:8" ht="24" customHeight="1">
      <c r="A477" s="443" t="s">
        <v>4145</v>
      </c>
      <c r="B477" s="443" t="s">
        <v>4313</v>
      </c>
      <c r="C477" s="443" t="s">
        <v>4475</v>
      </c>
      <c r="D477" s="444" t="s">
        <v>4314</v>
      </c>
      <c r="E477" s="443" t="s">
        <v>2708</v>
      </c>
      <c r="F477" s="445">
        <v>0.35</v>
      </c>
      <c r="G477" s="446">
        <v>11.98</v>
      </c>
      <c r="H477" s="446">
        <f t="shared" ref="H477:H478" si="52">ROUND((F477*G477),2)</f>
        <v>4.1900000000000004</v>
      </c>
    </row>
    <row r="478" spans="1:8" ht="24" customHeight="1">
      <c r="A478" s="443" t="s">
        <v>4145</v>
      </c>
      <c r="B478" s="443" t="s">
        <v>4462</v>
      </c>
      <c r="C478" s="443" t="s">
        <v>4144</v>
      </c>
      <c r="D478" s="444" t="s">
        <v>3231</v>
      </c>
      <c r="E478" s="443" t="s">
        <v>2487</v>
      </c>
      <c r="F478" s="445">
        <v>1</v>
      </c>
      <c r="G478" s="446">
        <v>5.33</v>
      </c>
      <c r="H478" s="446">
        <f t="shared" si="52"/>
        <v>5.33</v>
      </c>
    </row>
    <row r="479" spans="1:8" ht="14.4" customHeight="1">
      <c r="A479" s="578" t="s">
        <v>4474</v>
      </c>
      <c r="B479" s="579"/>
      <c r="C479" s="579"/>
      <c r="D479" s="579"/>
      <c r="E479" s="579"/>
      <c r="F479" s="579"/>
      <c r="G479" s="580"/>
      <c r="H479" s="462">
        <f>ROUND((H476*1.2592),2)</f>
        <v>11.99</v>
      </c>
    </row>
    <row r="480" spans="1:8">
      <c r="A480" s="576" t="s">
        <v>4150</v>
      </c>
      <c r="B480" s="576"/>
      <c r="C480" s="576"/>
      <c r="D480" s="576"/>
      <c r="E480" s="576"/>
      <c r="F480" s="576"/>
      <c r="G480" s="576"/>
      <c r="H480" s="576"/>
    </row>
    <row r="481" spans="1:9" ht="15" thickBot="1">
      <c r="A481" s="575" t="s">
        <v>4331</v>
      </c>
      <c r="B481" s="575"/>
      <c r="C481" s="575"/>
      <c r="D481" s="575"/>
      <c r="E481" s="575"/>
      <c r="F481" s="575"/>
      <c r="G481" s="575"/>
      <c r="H481" s="575"/>
    </row>
    <row r="482" spans="1:9" ht="15" thickTop="1">
      <c r="A482" s="403"/>
      <c r="B482" s="403"/>
      <c r="C482" s="403"/>
      <c r="D482" s="403"/>
      <c r="E482" s="403"/>
      <c r="F482" s="439"/>
      <c r="G482" s="439"/>
      <c r="H482" s="439"/>
    </row>
    <row r="483" spans="1:9">
      <c r="A483" s="441" t="s">
        <v>4332</v>
      </c>
      <c r="B483" s="441" t="s">
        <v>4137</v>
      </c>
      <c r="C483" s="441" t="s">
        <v>4138</v>
      </c>
      <c r="D483" s="442" t="s">
        <v>4139</v>
      </c>
      <c r="E483" s="441" t="s">
        <v>2723</v>
      </c>
      <c r="F483" s="441" t="s">
        <v>4140</v>
      </c>
      <c r="G483" s="441" t="s">
        <v>4141</v>
      </c>
      <c r="H483" s="441" t="s">
        <v>4142</v>
      </c>
    </row>
    <row r="484" spans="1:9" ht="39" customHeight="1">
      <c r="A484" s="447" t="s">
        <v>4143</v>
      </c>
      <c r="B484" s="447" t="s">
        <v>4463</v>
      </c>
      <c r="C484" s="447" t="s">
        <v>4144</v>
      </c>
      <c r="D484" s="448" t="s">
        <v>3330</v>
      </c>
      <c r="E484" s="447" t="s">
        <v>2489</v>
      </c>
      <c r="F484" s="449">
        <v>1</v>
      </c>
      <c r="G484" s="450">
        <f>H484</f>
        <v>54.11</v>
      </c>
      <c r="H484" s="450">
        <f>ROUND((H485+H486+H487+H488+H489+H490),2)</f>
        <v>54.11</v>
      </c>
    </row>
    <row r="485" spans="1:9" ht="24" customHeight="1">
      <c r="A485" s="443" t="s">
        <v>4145</v>
      </c>
      <c r="B485" s="443" t="s">
        <v>4313</v>
      </c>
      <c r="C485" s="443" t="s">
        <v>4475</v>
      </c>
      <c r="D485" s="444" t="s">
        <v>4314</v>
      </c>
      <c r="E485" s="443" t="s">
        <v>2708</v>
      </c>
      <c r="F485" s="445">
        <v>0.18179999999999999</v>
      </c>
      <c r="G485" s="446">
        <v>11.98</v>
      </c>
      <c r="H485" s="446">
        <f t="shared" ref="H485:H490" si="53">ROUND((F485*G485),2)</f>
        <v>2.1800000000000002</v>
      </c>
    </row>
    <row r="486" spans="1:9" ht="24" customHeight="1">
      <c r="A486" s="443" t="s">
        <v>4145</v>
      </c>
      <c r="B486" s="443" t="s">
        <v>4148</v>
      </c>
      <c r="C486" s="443" t="s">
        <v>4475</v>
      </c>
      <c r="D486" s="444" t="s">
        <v>4149</v>
      </c>
      <c r="E486" s="443" t="s">
        <v>2708</v>
      </c>
      <c r="F486" s="445">
        <v>0.5</v>
      </c>
      <c r="G486" s="446">
        <v>11.53</v>
      </c>
      <c r="H486" s="446">
        <f t="shared" si="53"/>
        <v>5.77</v>
      </c>
    </row>
    <row r="487" spans="1:9" ht="24" customHeight="1">
      <c r="A487" s="443" t="s">
        <v>4145</v>
      </c>
      <c r="B487" s="443" t="s">
        <v>4315</v>
      </c>
      <c r="C487" s="443" t="s">
        <v>4230</v>
      </c>
      <c r="D487" s="444" t="s">
        <v>4316</v>
      </c>
      <c r="E487" s="443" t="s">
        <v>4163</v>
      </c>
      <c r="F487" s="445">
        <v>7</v>
      </c>
      <c r="G487" s="446">
        <v>0.28000000000000003</v>
      </c>
      <c r="H487" s="446">
        <f t="shared" si="53"/>
        <v>1.96</v>
      </c>
    </row>
    <row r="488" spans="1:9" ht="24" customHeight="1">
      <c r="A488" s="443" t="s">
        <v>4145</v>
      </c>
      <c r="B488" s="443" t="s">
        <v>4317</v>
      </c>
      <c r="C488" s="443" t="s">
        <v>4475</v>
      </c>
      <c r="D488" s="444" t="s">
        <v>4318</v>
      </c>
      <c r="E488" s="443" t="s">
        <v>4163</v>
      </c>
      <c r="F488" s="445">
        <v>0.1</v>
      </c>
      <c r="G488" s="446">
        <v>4.3099999999999996</v>
      </c>
      <c r="H488" s="446">
        <f t="shared" si="53"/>
        <v>0.43</v>
      </c>
    </row>
    <row r="489" spans="1:9" ht="24" customHeight="1">
      <c r="A489" s="443" t="s">
        <v>4145</v>
      </c>
      <c r="B489" s="443" t="s">
        <v>4319</v>
      </c>
      <c r="C489" s="443" t="s">
        <v>4475</v>
      </c>
      <c r="D489" s="444" t="s">
        <v>4320</v>
      </c>
      <c r="E489" s="443" t="s">
        <v>4163</v>
      </c>
      <c r="F489" s="445">
        <v>0.1</v>
      </c>
      <c r="G489" s="446">
        <v>0.16</v>
      </c>
      <c r="H489" s="446">
        <f t="shared" si="53"/>
        <v>0.02</v>
      </c>
    </row>
    <row r="490" spans="1:9" ht="24" customHeight="1">
      <c r="A490" s="443" t="s">
        <v>4145</v>
      </c>
      <c r="B490" s="443" t="s">
        <v>4459</v>
      </c>
      <c r="C490" s="443" t="s">
        <v>4144</v>
      </c>
      <c r="D490" s="444" t="s">
        <v>3489</v>
      </c>
      <c r="E490" s="443" t="s">
        <v>3494</v>
      </c>
      <c r="F490" s="445">
        <v>25</v>
      </c>
      <c r="G490" s="446">
        <v>1.75</v>
      </c>
      <c r="H490" s="446">
        <f t="shared" si="53"/>
        <v>43.75</v>
      </c>
    </row>
    <row r="491" spans="1:9" ht="14.4" customHeight="1">
      <c r="A491" s="578" t="s">
        <v>4474</v>
      </c>
      <c r="B491" s="579"/>
      <c r="C491" s="579"/>
      <c r="D491" s="579"/>
      <c r="E491" s="579"/>
      <c r="F491" s="579"/>
      <c r="G491" s="580"/>
      <c r="H491" s="462">
        <f>ROUND((H484*1.2592),2)</f>
        <v>68.14</v>
      </c>
    </row>
    <row r="492" spans="1:9">
      <c r="A492" s="576" t="s">
        <v>4150</v>
      </c>
      <c r="B492" s="576"/>
      <c r="C492" s="576"/>
      <c r="D492" s="576"/>
      <c r="E492" s="576"/>
      <c r="F492" s="576"/>
      <c r="G492" s="576"/>
      <c r="H492" s="576"/>
    </row>
    <row r="493" spans="1:9" ht="31.2" customHeight="1" thickBot="1">
      <c r="A493" s="575" t="s">
        <v>4333</v>
      </c>
      <c r="B493" s="575"/>
      <c r="C493" s="575"/>
      <c r="D493" s="575"/>
      <c r="E493" s="575"/>
      <c r="F493" s="575"/>
      <c r="G493" s="575"/>
      <c r="H493" s="575"/>
    </row>
    <row r="494" spans="1:9" ht="15" thickTop="1">
      <c r="A494" s="403"/>
      <c r="B494" s="403"/>
      <c r="C494" s="403"/>
      <c r="D494" s="403"/>
      <c r="E494" s="403"/>
      <c r="F494" s="439"/>
      <c r="G494" s="439"/>
      <c r="H494" s="439"/>
    </row>
    <row r="495" spans="1:9" ht="31.2" customHeight="1">
      <c r="A495" s="441" t="s">
        <v>4334</v>
      </c>
      <c r="B495" s="441" t="s">
        <v>4137</v>
      </c>
      <c r="C495" s="441" t="s">
        <v>4138</v>
      </c>
      <c r="D495" s="442" t="s">
        <v>4139</v>
      </c>
      <c r="E495" s="441" t="s">
        <v>2723</v>
      </c>
      <c r="F495" s="441" t="s">
        <v>4140</v>
      </c>
      <c r="G495" s="441" t="s">
        <v>4141</v>
      </c>
      <c r="H495" s="441" t="s">
        <v>4142</v>
      </c>
    </row>
    <row r="496" spans="1:9" ht="39" customHeight="1">
      <c r="A496" s="447" t="s">
        <v>4143</v>
      </c>
      <c r="B496" s="447" t="s">
        <v>4464</v>
      </c>
      <c r="C496" s="447" t="s">
        <v>4144</v>
      </c>
      <c r="D496" s="448" t="s">
        <v>3331</v>
      </c>
      <c r="E496" s="447" t="s">
        <v>2489</v>
      </c>
      <c r="F496" s="449">
        <v>1</v>
      </c>
      <c r="G496" s="450">
        <f>H496</f>
        <v>32.57</v>
      </c>
      <c r="H496" s="450">
        <f>ROUND((SUM(H497:H501)),2)</f>
        <v>32.57</v>
      </c>
      <c r="I496" s="506"/>
    </row>
    <row r="497" spans="1:8" ht="24" customHeight="1">
      <c r="A497" s="443" t="s">
        <v>4145</v>
      </c>
      <c r="B497" s="443" t="s">
        <v>4313</v>
      </c>
      <c r="C497" s="443" t="s">
        <v>4475</v>
      </c>
      <c r="D497" s="444" t="s">
        <v>4314</v>
      </c>
      <c r="E497" s="443" t="s">
        <v>2708</v>
      </c>
      <c r="F497" s="445">
        <v>0.18179999999999999</v>
      </c>
      <c r="G497" s="446">
        <v>11.98</v>
      </c>
      <c r="H497" s="446">
        <f>G497*F497</f>
        <v>2.1779639999999998</v>
      </c>
    </row>
    <row r="498" spans="1:8" ht="24" customHeight="1">
      <c r="A498" s="443" t="s">
        <v>4145</v>
      </c>
      <c r="B498" s="443" t="s">
        <v>4148</v>
      </c>
      <c r="C498" s="443" t="s">
        <v>4475</v>
      </c>
      <c r="D498" s="444" t="s">
        <v>4149</v>
      </c>
      <c r="E498" s="443" t="s">
        <v>2708</v>
      </c>
      <c r="F498" s="445">
        <v>0.5</v>
      </c>
      <c r="G498" s="446">
        <v>11.53</v>
      </c>
      <c r="H498" s="446">
        <f t="shared" ref="H498:H501" si="54">G498*F498</f>
        <v>5.7649999999999997</v>
      </c>
    </row>
    <row r="499" spans="1:8" ht="24" customHeight="1">
      <c r="A499" s="443" t="s">
        <v>4145</v>
      </c>
      <c r="B499" s="443" t="s">
        <v>4317</v>
      </c>
      <c r="C499" s="443" t="s">
        <v>4475</v>
      </c>
      <c r="D499" s="444" t="s">
        <v>4318</v>
      </c>
      <c r="E499" s="443" t="s">
        <v>4163</v>
      </c>
      <c r="F499" s="445">
        <v>0.2</v>
      </c>
      <c r="G499" s="446">
        <v>4.3099999999999996</v>
      </c>
      <c r="H499" s="446">
        <f t="shared" si="54"/>
        <v>0.86199999999999999</v>
      </c>
    </row>
    <row r="500" spans="1:8" ht="24" customHeight="1">
      <c r="A500" s="443" t="s">
        <v>4145</v>
      </c>
      <c r="B500" s="443" t="s">
        <v>4315</v>
      </c>
      <c r="C500" s="443" t="s">
        <v>4230</v>
      </c>
      <c r="D500" s="444" t="s">
        <v>4316</v>
      </c>
      <c r="E500" s="443" t="s">
        <v>4163</v>
      </c>
      <c r="F500" s="445">
        <v>7</v>
      </c>
      <c r="G500" s="446">
        <v>0.27</v>
      </c>
      <c r="H500" s="446">
        <f t="shared" si="54"/>
        <v>1.8900000000000001</v>
      </c>
    </row>
    <row r="501" spans="1:8" ht="24" customHeight="1">
      <c r="A501" s="443" t="s">
        <v>4145</v>
      </c>
      <c r="B501" s="443" t="s">
        <v>4459</v>
      </c>
      <c r="C501" s="443" t="s">
        <v>4144</v>
      </c>
      <c r="D501" s="444" t="s">
        <v>3489</v>
      </c>
      <c r="E501" s="443" t="s">
        <v>3494</v>
      </c>
      <c r="F501" s="445">
        <v>12.5</v>
      </c>
      <c r="G501" s="446">
        <v>1.75</v>
      </c>
      <c r="H501" s="446">
        <f t="shared" si="54"/>
        <v>21.875</v>
      </c>
    </row>
    <row r="502" spans="1:8" ht="14.4" customHeight="1">
      <c r="A502" s="578" t="s">
        <v>4474</v>
      </c>
      <c r="B502" s="579"/>
      <c r="C502" s="579"/>
      <c r="D502" s="579"/>
      <c r="E502" s="579"/>
      <c r="F502" s="579"/>
      <c r="G502" s="580"/>
      <c r="H502" s="462">
        <f>ROUND((H496*1.2592),2)</f>
        <v>41.01</v>
      </c>
    </row>
    <row r="503" spans="1:8">
      <c r="A503" s="576" t="s">
        <v>4150</v>
      </c>
      <c r="B503" s="576"/>
      <c r="C503" s="576"/>
      <c r="D503" s="576"/>
      <c r="E503" s="576"/>
      <c r="F503" s="576"/>
      <c r="G503" s="576"/>
      <c r="H503" s="576"/>
    </row>
    <row r="504" spans="1:8" ht="31.8" customHeight="1" thickBot="1">
      <c r="A504" s="575" t="s">
        <v>4335</v>
      </c>
      <c r="B504" s="575"/>
      <c r="C504" s="575"/>
      <c r="D504" s="575"/>
      <c r="E504" s="575"/>
      <c r="F504" s="575"/>
      <c r="G504" s="575"/>
      <c r="H504" s="575"/>
    </row>
    <row r="505" spans="1:8" ht="15" thickTop="1">
      <c r="A505" s="403"/>
      <c r="B505" s="403"/>
      <c r="C505" s="403"/>
      <c r="D505" s="403"/>
      <c r="E505" s="403"/>
      <c r="F505" s="439"/>
      <c r="G505" s="439"/>
      <c r="H505" s="439"/>
    </row>
    <row r="506" spans="1:8">
      <c r="A506" s="441" t="s">
        <v>4336</v>
      </c>
      <c r="B506" s="441" t="s">
        <v>4137</v>
      </c>
      <c r="C506" s="441" t="s">
        <v>4138</v>
      </c>
      <c r="D506" s="442" t="s">
        <v>4139</v>
      </c>
      <c r="E506" s="441" t="s">
        <v>2723</v>
      </c>
      <c r="F506" s="441" t="s">
        <v>4140</v>
      </c>
      <c r="G506" s="441" t="s">
        <v>4141</v>
      </c>
      <c r="H506" s="441" t="s">
        <v>4142</v>
      </c>
    </row>
    <row r="507" spans="1:8" ht="52.05" customHeight="1">
      <c r="A507" s="447" t="s">
        <v>4143</v>
      </c>
      <c r="B507" s="447" t="s">
        <v>4465</v>
      </c>
      <c r="C507" s="447" t="s">
        <v>4144</v>
      </c>
      <c r="D507" s="448" t="s">
        <v>3334</v>
      </c>
      <c r="E507" s="447" t="s">
        <v>2489</v>
      </c>
      <c r="F507" s="449">
        <v>1</v>
      </c>
      <c r="G507" s="450">
        <v>54.97</v>
      </c>
      <c r="H507" s="450">
        <f>ROUND((SUM(H508:H513)),2)</f>
        <v>54.97</v>
      </c>
    </row>
    <row r="508" spans="1:8" ht="24" customHeight="1">
      <c r="A508" s="443" t="s">
        <v>4145</v>
      </c>
      <c r="B508" s="443" t="s">
        <v>4313</v>
      </c>
      <c r="C508" s="443" t="s">
        <v>4475</v>
      </c>
      <c r="D508" s="444" t="s">
        <v>4314</v>
      </c>
      <c r="E508" s="443" t="s">
        <v>2708</v>
      </c>
      <c r="F508" s="445">
        <v>0.26</v>
      </c>
      <c r="G508" s="446">
        <v>11.98</v>
      </c>
      <c r="H508" s="446">
        <f t="shared" ref="H508:H513" si="55">G508*F508</f>
        <v>3.1148000000000002</v>
      </c>
    </row>
    <row r="509" spans="1:8" ht="24" customHeight="1">
      <c r="A509" s="443" t="s">
        <v>4145</v>
      </c>
      <c r="B509" s="443" t="s">
        <v>4148</v>
      </c>
      <c r="C509" s="443" t="s">
        <v>4475</v>
      </c>
      <c r="D509" s="444" t="s">
        <v>4149</v>
      </c>
      <c r="E509" s="443" t="s">
        <v>2708</v>
      </c>
      <c r="F509" s="445">
        <v>0.5</v>
      </c>
      <c r="G509" s="446">
        <v>11.53</v>
      </c>
      <c r="H509" s="446">
        <f t="shared" si="55"/>
        <v>5.7649999999999997</v>
      </c>
    </row>
    <row r="510" spans="1:8" ht="24" customHeight="1">
      <c r="A510" s="443" t="s">
        <v>4145</v>
      </c>
      <c r="B510" s="443" t="s">
        <v>4315</v>
      </c>
      <c r="C510" s="443" t="s">
        <v>4230</v>
      </c>
      <c r="D510" s="444" t="s">
        <v>4316</v>
      </c>
      <c r="E510" s="443" t="s">
        <v>4163</v>
      </c>
      <c r="F510" s="445">
        <v>7</v>
      </c>
      <c r="G510" s="446">
        <v>0.27</v>
      </c>
      <c r="H510" s="446">
        <f t="shared" si="55"/>
        <v>1.8900000000000001</v>
      </c>
    </row>
    <row r="511" spans="1:8" ht="24" customHeight="1">
      <c r="A511" s="443" t="s">
        <v>4145</v>
      </c>
      <c r="B511" s="443" t="s">
        <v>4317</v>
      </c>
      <c r="C511" s="443" t="s">
        <v>4475</v>
      </c>
      <c r="D511" s="444" t="s">
        <v>4318</v>
      </c>
      <c r="E511" s="443" t="s">
        <v>4163</v>
      </c>
      <c r="F511" s="445">
        <v>0.1</v>
      </c>
      <c r="G511" s="446">
        <v>4.3099999999999996</v>
      </c>
      <c r="H511" s="446">
        <f t="shared" si="55"/>
        <v>0.43099999999999999</v>
      </c>
    </row>
    <row r="512" spans="1:8" ht="24" customHeight="1">
      <c r="A512" s="443" t="s">
        <v>4145</v>
      </c>
      <c r="B512" s="443" t="s">
        <v>4319</v>
      </c>
      <c r="C512" s="443" t="s">
        <v>4475</v>
      </c>
      <c r="D512" s="444" t="s">
        <v>4320</v>
      </c>
      <c r="E512" s="443" t="s">
        <v>4163</v>
      </c>
      <c r="F512" s="445">
        <v>0.1</v>
      </c>
      <c r="G512" s="446">
        <v>0.16</v>
      </c>
      <c r="H512" s="446">
        <f t="shared" si="55"/>
        <v>1.6E-2</v>
      </c>
    </row>
    <row r="513" spans="1:8" ht="24" customHeight="1">
      <c r="A513" s="443" t="s">
        <v>4145</v>
      </c>
      <c r="B513" s="443" t="s">
        <v>4459</v>
      </c>
      <c r="C513" s="443" t="s">
        <v>4144</v>
      </c>
      <c r="D513" s="444" t="s">
        <v>3489</v>
      </c>
      <c r="E513" s="443" t="s">
        <v>3494</v>
      </c>
      <c r="F513" s="445">
        <v>25</v>
      </c>
      <c r="G513" s="446">
        <v>1.75</v>
      </c>
      <c r="H513" s="446">
        <f t="shared" si="55"/>
        <v>43.75</v>
      </c>
    </row>
    <row r="514" spans="1:8" ht="14.4" customHeight="1">
      <c r="A514" s="578" t="s">
        <v>4474</v>
      </c>
      <c r="B514" s="579"/>
      <c r="C514" s="579"/>
      <c r="D514" s="579"/>
      <c r="E514" s="579"/>
      <c r="F514" s="579"/>
      <c r="G514" s="580"/>
      <c r="H514" s="462">
        <f>ROUND((H507*1.2592),2)</f>
        <v>69.22</v>
      </c>
    </row>
    <row r="515" spans="1:8">
      <c r="A515" s="576" t="s">
        <v>4150</v>
      </c>
      <c r="B515" s="576"/>
      <c r="C515" s="576"/>
      <c r="D515" s="576"/>
      <c r="E515" s="576"/>
      <c r="F515" s="576"/>
      <c r="G515" s="576"/>
      <c r="H515" s="576"/>
    </row>
    <row r="516" spans="1:8" ht="30" customHeight="1" thickBot="1">
      <c r="A516" s="575" t="s">
        <v>4337</v>
      </c>
      <c r="B516" s="575"/>
      <c r="C516" s="575"/>
      <c r="D516" s="575"/>
      <c r="E516" s="575"/>
      <c r="F516" s="575"/>
      <c r="G516" s="575"/>
      <c r="H516" s="575"/>
    </row>
    <row r="517" spans="1:8" ht="15" thickTop="1">
      <c r="A517" s="403"/>
      <c r="B517" s="403"/>
      <c r="C517" s="403"/>
      <c r="D517" s="403"/>
      <c r="E517" s="403"/>
      <c r="F517" s="439"/>
      <c r="G517" s="439"/>
      <c r="H517" s="439"/>
    </row>
    <row r="518" spans="1:8">
      <c r="A518" s="441" t="s">
        <v>4338</v>
      </c>
      <c r="B518" s="441" t="s">
        <v>4137</v>
      </c>
      <c r="C518" s="441" t="s">
        <v>4138</v>
      </c>
      <c r="D518" s="442" t="s">
        <v>4139</v>
      </c>
      <c r="E518" s="441" t="s">
        <v>2723</v>
      </c>
      <c r="F518" s="441" t="s">
        <v>4140</v>
      </c>
      <c r="G518" s="441" t="s">
        <v>4141</v>
      </c>
      <c r="H518" s="441" t="s">
        <v>4142</v>
      </c>
    </row>
    <row r="519" spans="1:8" ht="39" customHeight="1">
      <c r="A519" s="447" t="s">
        <v>4143</v>
      </c>
      <c r="B519" s="447" t="s">
        <v>4466</v>
      </c>
      <c r="C519" s="447" t="s">
        <v>4144</v>
      </c>
      <c r="D519" s="448" t="s">
        <v>3337</v>
      </c>
      <c r="E519" s="447" t="s">
        <v>3040</v>
      </c>
      <c r="F519" s="449">
        <v>1</v>
      </c>
      <c r="G519" s="450">
        <v>59.5</v>
      </c>
      <c r="H519" s="450">
        <f>ROUND((SUM(H520:H525)),2)</f>
        <v>59.5</v>
      </c>
    </row>
    <row r="520" spans="1:8" ht="24" customHeight="1">
      <c r="A520" s="443" t="s">
        <v>4145</v>
      </c>
      <c r="B520" s="443" t="s">
        <v>4313</v>
      </c>
      <c r="C520" s="443" t="s">
        <v>4475</v>
      </c>
      <c r="D520" s="444" t="s">
        <v>4314</v>
      </c>
      <c r="E520" s="443" t="s">
        <v>2708</v>
      </c>
      <c r="F520" s="445">
        <v>0.08</v>
      </c>
      <c r="G520" s="446">
        <v>11.98</v>
      </c>
      <c r="H520" s="446">
        <f t="shared" ref="H520:H525" si="56">G520*F520</f>
        <v>0.95840000000000003</v>
      </c>
    </row>
    <row r="521" spans="1:8" ht="24" customHeight="1">
      <c r="A521" s="443" t="s">
        <v>4145</v>
      </c>
      <c r="B521" s="443" t="s">
        <v>4148</v>
      </c>
      <c r="C521" s="443" t="s">
        <v>4475</v>
      </c>
      <c r="D521" s="444" t="s">
        <v>4149</v>
      </c>
      <c r="E521" s="443" t="s">
        <v>2708</v>
      </c>
      <c r="F521" s="445">
        <v>0.95179999999999998</v>
      </c>
      <c r="G521" s="446">
        <v>11.53</v>
      </c>
      <c r="H521" s="446">
        <f t="shared" si="56"/>
        <v>10.974253999999998</v>
      </c>
    </row>
    <row r="522" spans="1:8" ht="24" customHeight="1">
      <c r="A522" s="443" t="s">
        <v>4145</v>
      </c>
      <c r="B522" s="443" t="s">
        <v>4315</v>
      </c>
      <c r="C522" s="443" t="s">
        <v>4230</v>
      </c>
      <c r="D522" s="444" t="s">
        <v>4316</v>
      </c>
      <c r="E522" s="443" t="s">
        <v>4163</v>
      </c>
      <c r="F522" s="445">
        <v>10</v>
      </c>
      <c r="G522" s="446">
        <v>0.27</v>
      </c>
      <c r="H522" s="446">
        <f t="shared" si="56"/>
        <v>2.7</v>
      </c>
    </row>
    <row r="523" spans="1:8" ht="24" customHeight="1">
      <c r="A523" s="443" t="s">
        <v>4145</v>
      </c>
      <c r="B523" s="443" t="s">
        <v>4317</v>
      </c>
      <c r="C523" s="443" t="s">
        <v>4475</v>
      </c>
      <c r="D523" s="444" t="s">
        <v>4318</v>
      </c>
      <c r="E523" s="443" t="s">
        <v>4163</v>
      </c>
      <c r="F523" s="445">
        <v>0.25</v>
      </c>
      <c r="G523" s="446">
        <v>4.3099999999999996</v>
      </c>
      <c r="H523" s="446">
        <f t="shared" si="56"/>
        <v>1.0774999999999999</v>
      </c>
    </row>
    <row r="524" spans="1:8" ht="24" customHeight="1">
      <c r="A524" s="443" t="s">
        <v>4145</v>
      </c>
      <c r="B524" s="443" t="s">
        <v>4319</v>
      </c>
      <c r="C524" s="443" t="s">
        <v>4475</v>
      </c>
      <c r="D524" s="444" t="s">
        <v>4320</v>
      </c>
      <c r="E524" s="443" t="s">
        <v>4163</v>
      </c>
      <c r="F524" s="445">
        <v>0.25</v>
      </c>
      <c r="G524" s="446">
        <v>0.16</v>
      </c>
      <c r="H524" s="446">
        <f t="shared" si="56"/>
        <v>0.04</v>
      </c>
    </row>
    <row r="525" spans="1:8" ht="24" customHeight="1">
      <c r="A525" s="443" t="s">
        <v>4145</v>
      </c>
      <c r="B525" s="443" t="s">
        <v>4459</v>
      </c>
      <c r="C525" s="443" t="s">
        <v>4144</v>
      </c>
      <c r="D525" s="444" t="s">
        <v>3489</v>
      </c>
      <c r="E525" s="443" t="s">
        <v>3494</v>
      </c>
      <c r="F525" s="445">
        <v>25</v>
      </c>
      <c r="G525" s="446">
        <v>1.75</v>
      </c>
      <c r="H525" s="446">
        <f t="shared" si="56"/>
        <v>43.75</v>
      </c>
    </row>
    <row r="526" spans="1:8" ht="14.4" customHeight="1">
      <c r="A526" s="578" t="s">
        <v>4474</v>
      </c>
      <c r="B526" s="579"/>
      <c r="C526" s="579"/>
      <c r="D526" s="579"/>
      <c r="E526" s="579"/>
      <c r="F526" s="579"/>
      <c r="G526" s="580"/>
      <c r="H526" s="462">
        <f>ROUND((H519*1.2592),2)</f>
        <v>74.92</v>
      </c>
    </row>
    <row r="527" spans="1:8">
      <c r="A527" s="576" t="s">
        <v>4150</v>
      </c>
      <c r="B527" s="576"/>
      <c r="C527" s="576"/>
      <c r="D527" s="576"/>
      <c r="E527" s="576"/>
      <c r="F527" s="576"/>
      <c r="G527" s="576"/>
      <c r="H527" s="576"/>
    </row>
    <row r="528" spans="1:8" ht="31.2" customHeight="1" thickBot="1">
      <c r="A528" s="575" t="s">
        <v>4339</v>
      </c>
      <c r="B528" s="575"/>
      <c r="C528" s="575"/>
      <c r="D528" s="575"/>
      <c r="E528" s="575"/>
      <c r="F528" s="575"/>
      <c r="G528" s="575"/>
      <c r="H528" s="575"/>
    </row>
    <row r="529" spans="1:8" ht="15" thickTop="1">
      <c r="A529" s="403"/>
      <c r="B529" s="403"/>
      <c r="C529" s="403"/>
      <c r="D529" s="403"/>
      <c r="E529" s="403"/>
      <c r="F529" s="439"/>
      <c r="G529" s="439"/>
      <c r="H529" s="439"/>
    </row>
    <row r="530" spans="1:8">
      <c r="A530" s="441" t="s">
        <v>4340</v>
      </c>
      <c r="B530" s="441" t="s">
        <v>4137</v>
      </c>
      <c r="C530" s="441" t="s">
        <v>4138</v>
      </c>
      <c r="D530" s="442" t="s">
        <v>4139</v>
      </c>
      <c r="E530" s="441" t="s">
        <v>2723</v>
      </c>
      <c r="F530" s="441" t="s">
        <v>4140</v>
      </c>
      <c r="G530" s="441" t="s">
        <v>4141</v>
      </c>
      <c r="H530" s="441" t="s">
        <v>4142</v>
      </c>
    </row>
    <row r="531" spans="1:8" ht="25.95" customHeight="1">
      <c r="A531" s="447" t="s">
        <v>4143</v>
      </c>
      <c r="B531" s="447" t="s">
        <v>4467</v>
      </c>
      <c r="C531" s="447" t="s">
        <v>4144</v>
      </c>
      <c r="D531" s="448" t="s">
        <v>3339</v>
      </c>
      <c r="E531" s="447" t="s">
        <v>2489</v>
      </c>
      <c r="F531" s="449">
        <v>1</v>
      </c>
      <c r="G531" s="450">
        <v>12.96</v>
      </c>
      <c r="H531" s="450">
        <f>ROUND((SUM(H532:H534)),2)</f>
        <v>12.96</v>
      </c>
    </row>
    <row r="532" spans="1:8" ht="24" customHeight="1">
      <c r="A532" s="443" t="s">
        <v>4145</v>
      </c>
      <c r="B532" s="443" t="s">
        <v>4146</v>
      </c>
      <c r="C532" s="443" t="s">
        <v>4475</v>
      </c>
      <c r="D532" s="444" t="s">
        <v>4147</v>
      </c>
      <c r="E532" s="443" t="s">
        <v>2708</v>
      </c>
      <c r="F532" s="445">
        <v>0.4743</v>
      </c>
      <c r="G532" s="446">
        <v>19.27</v>
      </c>
      <c r="H532" s="446">
        <f t="shared" ref="H532:H534" si="57">G532*F532</f>
        <v>9.139761</v>
      </c>
    </row>
    <row r="533" spans="1:8" ht="24" customHeight="1">
      <c r="A533" s="443" t="s">
        <v>4145</v>
      </c>
      <c r="B533" s="443" t="s">
        <v>4148</v>
      </c>
      <c r="C533" s="443" t="s">
        <v>4475</v>
      </c>
      <c r="D533" s="444" t="s">
        <v>4149</v>
      </c>
      <c r="E533" s="443" t="s">
        <v>2708</v>
      </c>
      <c r="F533" s="445">
        <v>0.14940000000000001</v>
      </c>
      <c r="G533" s="446">
        <v>11.53</v>
      </c>
      <c r="H533" s="446">
        <f t="shared" si="57"/>
        <v>1.7225820000000001</v>
      </c>
    </row>
    <row r="534" spans="1:8" ht="24" customHeight="1">
      <c r="A534" s="443" t="s">
        <v>4145</v>
      </c>
      <c r="B534" s="443" t="s">
        <v>4341</v>
      </c>
      <c r="C534" s="443" t="s">
        <v>4475</v>
      </c>
      <c r="D534" s="444" t="s">
        <v>4342</v>
      </c>
      <c r="E534" s="443" t="s">
        <v>2488</v>
      </c>
      <c r="F534" s="445">
        <v>3</v>
      </c>
      <c r="G534" s="446">
        <v>0.7</v>
      </c>
      <c r="H534" s="446">
        <f t="shared" si="57"/>
        <v>2.0999999999999996</v>
      </c>
    </row>
    <row r="535" spans="1:8" ht="15" customHeight="1" thickBot="1">
      <c r="A535" s="578" t="s">
        <v>4474</v>
      </c>
      <c r="B535" s="579"/>
      <c r="C535" s="579"/>
      <c r="D535" s="579"/>
      <c r="E535" s="579"/>
      <c r="F535" s="579"/>
      <c r="G535" s="580"/>
      <c r="H535" s="462">
        <f>ROUND((H531*1.2592),2)</f>
        <v>16.32</v>
      </c>
    </row>
    <row r="536" spans="1:8" ht="15" thickTop="1">
      <c r="A536" s="403"/>
      <c r="B536" s="403"/>
      <c r="C536" s="403"/>
      <c r="D536" s="403"/>
      <c r="E536" s="403"/>
      <c r="F536" s="439"/>
      <c r="G536" s="439"/>
      <c r="H536" s="439"/>
    </row>
    <row r="537" spans="1:8">
      <c r="A537" s="441" t="s">
        <v>4343</v>
      </c>
      <c r="B537" s="441" t="s">
        <v>4137</v>
      </c>
      <c r="C537" s="441" t="s">
        <v>4138</v>
      </c>
      <c r="D537" s="442" t="s">
        <v>4139</v>
      </c>
      <c r="E537" s="441" t="s">
        <v>2723</v>
      </c>
      <c r="F537" s="441" t="s">
        <v>4140</v>
      </c>
      <c r="G537" s="441" t="s">
        <v>4141</v>
      </c>
      <c r="H537" s="441" t="s">
        <v>4142</v>
      </c>
    </row>
    <row r="538" spans="1:8" ht="39" customHeight="1">
      <c r="A538" s="447" t="s">
        <v>4143</v>
      </c>
      <c r="B538" s="447" t="s">
        <v>4468</v>
      </c>
      <c r="C538" s="447" t="s">
        <v>4144</v>
      </c>
      <c r="D538" s="448" t="s">
        <v>3341</v>
      </c>
      <c r="E538" s="447" t="s">
        <v>2489</v>
      </c>
      <c r="F538" s="449">
        <v>1</v>
      </c>
      <c r="G538" s="450">
        <v>9.8699999999999992</v>
      </c>
      <c r="H538" s="450">
        <f>ROUND((SUM(H539:H542)),2)</f>
        <v>9.8699999999999992</v>
      </c>
    </row>
    <row r="539" spans="1:8" ht="24" customHeight="1">
      <c r="A539" s="443" t="s">
        <v>4145</v>
      </c>
      <c r="B539" s="443" t="s">
        <v>4313</v>
      </c>
      <c r="C539" s="443" t="s">
        <v>4475</v>
      </c>
      <c r="D539" s="444" t="s">
        <v>4314</v>
      </c>
      <c r="E539" s="443" t="s">
        <v>2708</v>
      </c>
      <c r="F539" s="445">
        <v>0.16669999999999999</v>
      </c>
      <c r="G539" s="446">
        <v>11.98</v>
      </c>
      <c r="H539" s="446">
        <f t="shared" ref="H539:H542" si="58">G539*F539</f>
        <v>1.997066</v>
      </c>
    </row>
    <row r="540" spans="1:8" ht="24" customHeight="1">
      <c r="A540" s="443" t="s">
        <v>4145</v>
      </c>
      <c r="B540" s="443" t="s">
        <v>4148</v>
      </c>
      <c r="C540" s="443" t="s">
        <v>4475</v>
      </c>
      <c r="D540" s="444" t="s">
        <v>4149</v>
      </c>
      <c r="E540" s="443" t="s">
        <v>2708</v>
      </c>
      <c r="F540" s="445">
        <v>0.33</v>
      </c>
      <c r="G540" s="446">
        <v>11.53</v>
      </c>
      <c r="H540" s="446">
        <f t="shared" si="58"/>
        <v>3.8048999999999999</v>
      </c>
    </row>
    <row r="541" spans="1:8" ht="24" customHeight="1">
      <c r="A541" s="443" t="s">
        <v>4145</v>
      </c>
      <c r="B541" s="443" t="s">
        <v>4459</v>
      </c>
      <c r="C541" s="443" t="s">
        <v>4144</v>
      </c>
      <c r="D541" s="444" t="s">
        <v>3489</v>
      </c>
      <c r="E541" s="443" t="s">
        <v>3494</v>
      </c>
      <c r="F541" s="445">
        <v>2</v>
      </c>
      <c r="G541" s="446">
        <v>1.75</v>
      </c>
      <c r="H541" s="446">
        <f t="shared" si="58"/>
        <v>3.5</v>
      </c>
    </row>
    <row r="542" spans="1:8" ht="25.95" customHeight="1">
      <c r="A542" s="443" t="s">
        <v>4145</v>
      </c>
      <c r="B542" s="443" t="s">
        <v>4344</v>
      </c>
      <c r="C542" s="443" t="s">
        <v>4155</v>
      </c>
      <c r="D542" s="444" t="s">
        <v>4345</v>
      </c>
      <c r="E542" s="443" t="s">
        <v>3040</v>
      </c>
      <c r="F542" s="445">
        <v>0.08</v>
      </c>
      <c r="G542" s="446">
        <v>7.08</v>
      </c>
      <c r="H542" s="446">
        <f t="shared" si="58"/>
        <v>0.56640000000000001</v>
      </c>
    </row>
    <row r="543" spans="1:8" ht="14.4" customHeight="1">
      <c r="A543" s="578" t="s">
        <v>4474</v>
      </c>
      <c r="B543" s="579"/>
      <c r="C543" s="579"/>
      <c r="D543" s="579"/>
      <c r="E543" s="579"/>
      <c r="F543" s="579"/>
      <c r="G543" s="580"/>
      <c r="H543" s="462">
        <f>ROUND((H538*1.2592),2)</f>
        <v>12.43</v>
      </c>
    </row>
    <row r="544" spans="1:8">
      <c r="A544" s="576" t="s">
        <v>4150</v>
      </c>
      <c r="B544" s="576"/>
      <c r="C544" s="576"/>
      <c r="D544" s="576"/>
      <c r="E544" s="576"/>
      <c r="F544" s="576"/>
      <c r="G544" s="576"/>
      <c r="H544" s="576"/>
    </row>
    <row r="545" spans="1:8" ht="35.4" customHeight="1" thickBot="1">
      <c r="A545" s="575" t="s">
        <v>4346</v>
      </c>
      <c r="B545" s="575"/>
      <c r="C545" s="575"/>
      <c r="D545" s="575"/>
      <c r="E545" s="575"/>
      <c r="F545" s="575"/>
      <c r="G545" s="575"/>
      <c r="H545" s="575"/>
    </row>
    <row r="546" spans="1:8" ht="15" thickTop="1">
      <c r="A546" s="403"/>
      <c r="B546" s="403"/>
      <c r="C546" s="403"/>
      <c r="D546" s="403"/>
      <c r="E546" s="403"/>
      <c r="F546" s="439"/>
      <c r="G546" s="439"/>
      <c r="H546" s="439"/>
    </row>
    <row r="547" spans="1:8" ht="35.4" customHeight="1">
      <c r="A547" s="441" t="s">
        <v>4347</v>
      </c>
      <c r="B547" s="441" t="s">
        <v>4137</v>
      </c>
      <c r="C547" s="441" t="s">
        <v>4138</v>
      </c>
      <c r="D547" s="442" t="s">
        <v>4139</v>
      </c>
      <c r="E547" s="441" t="s">
        <v>2723</v>
      </c>
      <c r="F547" s="441" t="s">
        <v>4140</v>
      </c>
      <c r="G547" s="441" t="s">
        <v>4141</v>
      </c>
      <c r="H547" s="441" t="s">
        <v>4142</v>
      </c>
    </row>
    <row r="548" spans="1:8" ht="25.95" customHeight="1">
      <c r="A548" s="447" t="s">
        <v>4143</v>
      </c>
      <c r="B548" s="447" t="s">
        <v>4469</v>
      </c>
      <c r="C548" s="447" t="s">
        <v>4144</v>
      </c>
      <c r="D548" s="448" t="s">
        <v>4348</v>
      </c>
      <c r="E548" s="447" t="s">
        <v>2489</v>
      </c>
      <c r="F548" s="449">
        <v>1</v>
      </c>
      <c r="G548" s="450">
        <f>H548</f>
        <v>1799.48</v>
      </c>
      <c r="H548" s="450">
        <f>ROUND((SUM(H549:H552)),2)</f>
        <v>1799.48</v>
      </c>
    </row>
    <row r="549" spans="1:8" ht="24" customHeight="1">
      <c r="A549" s="443" t="s">
        <v>4145</v>
      </c>
      <c r="B549" s="443" t="s">
        <v>4349</v>
      </c>
      <c r="C549" s="443" t="s">
        <v>4475</v>
      </c>
      <c r="D549" s="444" t="s">
        <v>4350</v>
      </c>
      <c r="E549" s="443" t="s">
        <v>2708</v>
      </c>
      <c r="F549" s="445">
        <v>0.9</v>
      </c>
      <c r="G549" s="446">
        <v>19.27</v>
      </c>
      <c r="H549" s="446">
        <f t="shared" ref="H549:H552" si="59">G549*F549</f>
        <v>17.343</v>
      </c>
    </row>
    <row r="550" spans="1:8" ht="25.95" customHeight="1">
      <c r="A550" s="443" t="s">
        <v>4145</v>
      </c>
      <c r="B550" s="443" t="s">
        <v>4351</v>
      </c>
      <c r="C550" s="443" t="s">
        <v>4475</v>
      </c>
      <c r="D550" s="444" t="s">
        <v>4352</v>
      </c>
      <c r="E550" s="443" t="s">
        <v>3040</v>
      </c>
      <c r="F550" s="445">
        <v>3.6</v>
      </c>
      <c r="G550" s="446">
        <v>432.84</v>
      </c>
      <c r="H550" s="446">
        <f t="shared" si="59"/>
        <v>1558.2239999999999</v>
      </c>
    </row>
    <row r="551" spans="1:8" ht="24" customHeight="1">
      <c r="A551" s="443" t="s">
        <v>4145</v>
      </c>
      <c r="B551" s="443" t="s">
        <v>4470</v>
      </c>
      <c r="C551" s="443" t="s">
        <v>4144</v>
      </c>
      <c r="D551" s="444" t="s">
        <v>3981</v>
      </c>
      <c r="E551" s="443" t="s">
        <v>2489</v>
      </c>
      <c r="F551" s="445">
        <v>8</v>
      </c>
      <c r="G551" s="446">
        <v>12.05</v>
      </c>
      <c r="H551" s="446">
        <f t="shared" si="59"/>
        <v>96.4</v>
      </c>
    </row>
    <row r="552" spans="1:8" ht="24" customHeight="1">
      <c r="A552" s="443" t="s">
        <v>4145</v>
      </c>
      <c r="B552" s="443" t="s">
        <v>4471</v>
      </c>
      <c r="C552" s="443" t="s">
        <v>4144</v>
      </c>
      <c r="D552" s="444" t="s">
        <v>3994</v>
      </c>
      <c r="E552" s="443" t="s">
        <v>3040</v>
      </c>
      <c r="F552" s="445">
        <v>3.6</v>
      </c>
      <c r="G552" s="446">
        <v>35.42</v>
      </c>
      <c r="H552" s="446">
        <f t="shared" si="59"/>
        <v>127.51200000000001</v>
      </c>
    </row>
    <row r="553" spans="1:8" ht="15" thickBot="1">
      <c r="A553" s="578" t="s">
        <v>4474</v>
      </c>
      <c r="B553" s="579"/>
      <c r="C553" s="579"/>
      <c r="D553" s="579"/>
      <c r="E553" s="579"/>
      <c r="F553" s="579"/>
      <c r="G553" s="580"/>
      <c r="H553" s="462">
        <f>ROUND((H548*1.2592),2)</f>
        <v>2265.91</v>
      </c>
    </row>
    <row r="554" spans="1:8" ht="15" thickTop="1">
      <c r="A554" s="403"/>
      <c r="B554" s="403"/>
      <c r="C554" s="403"/>
      <c r="D554" s="403"/>
      <c r="E554" s="403"/>
      <c r="F554" s="439"/>
      <c r="G554" s="439"/>
      <c r="H554" s="439"/>
    </row>
    <row r="555" spans="1:8">
      <c r="A555" s="441" t="s">
        <v>4353</v>
      </c>
      <c r="B555" s="441" t="s">
        <v>4137</v>
      </c>
      <c r="C555" s="441" t="s">
        <v>4138</v>
      </c>
      <c r="D555" s="442" t="s">
        <v>4139</v>
      </c>
      <c r="E555" s="441" t="s">
        <v>2723</v>
      </c>
      <c r="F555" s="441" t="s">
        <v>4140</v>
      </c>
      <c r="G555" s="441" t="s">
        <v>4141</v>
      </c>
      <c r="H555" s="441" t="s">
        <v>4142</v>
      </c>
    </row>
    <row r="556" spans="1:8" ht="25.95" customHeight="1">
      <c r="A556" s="447" t="s">
        <v>4143</v>
      </c>
      <c r="B556" s="447" t="s">
        <v>4472</v>
      </c>
      <c r="C556" s="447" t="s">
        <v>4144</v>
      </c>
      <c r="D556" s="448" t="s">
        <v>3758</v>
      </c>
      <c r="E556" s="447" t="s">
        <v>2489</v>
      </c>
      <c r="F556" s="449">
        <v>1</v>
      </c>
      <c r="G556" s="450">
        <v>105.21</v>
      </c>
      <c r="H556" s="450">
        <f>ROUND((SUM(H557:H562)),2)</f>
        <v>105.21</v>
      </c>
    </row>
    <row r="557" spans="1:8" ht="24" customHeight="1">
      <c r="A557" s="443" t="s">
        <v>4145</v>
      </c>
      <c r="B557" s="443" t="s">
        <v>4354</v>
      </c>
      <c r="C557" s="443" t="s">
        <v>4155</v>
      </c>
      <c r="D557" s="444" t="s">
        <v>4355</v>
      </c>
      <c r="E557" s="443" t="s">
        <v>4157</v>
      </c>
      <c r="F557" s="445">
        <v>2.6335000000000002</v>
      </c>
      <c r="G557" s="446">
        <v>12.07</v>
      </c>
      <c r="H557" s="446">
        <f t="shared" ref="H557:H562" si="60">G557*F557</f>
        <v>31.786345000000004</v>
      </c>
    </row>
    <row r="558" spans="1:8" ht="24" customHeight="1">
      <c r="A558" s="443" t="s">
        <v>4145</v>
      </c>
      <c r="B558" s="443" t="s">
        <v>4154</v>
      </c>
      <c r="C558" s="443" t="s">
        <v>4155</v>
      </c>
      <c r="D558" s="444" t="s">
        <v>4156</v>
      </c>
      <c r="E558" s="443" t="s">
        <v>4157</v>
      </c>
      <c r="F558" s="445">
        <v>2.6335000000000002</v>
      </c>
      <c r="G558" s="446">
        <v>17.75</v>
      </c>
      <c r="H558" s="446">
        <f t="shared" si="60"/>
        <v>46.744625000000006</v>
      </c>
    </row>
    <row r="559" spans="1:8" ht="39" customHeight="1">
      <c r="A559" s="443" t="s">
        <v>4145</v>
      </c>
      <c r="B559" s="443" t="s">
        <v>4356</v>
      </c>
      <c r="C559" s="443" t="s">
        <v>4155</v>
      </c>
      <c r="D559" s="444" t="s">
        <v>4357</v>
      </c>
      <c r="E559" s="443" t="s">
        <v>2477</v>
      </c>
      <c r="F559" s="445">
        <v>10</v>
      </c>
      <c r="G559" s="446">
        <v>0.88</v>
      </c>
      <c r="H559" s="446">
        <f t="shared" si="60"/>
        <v>8.8000000000000007</v>
      </c>
    </row>
    <row r="560" spans="1:8" ht="39" customHeight="1">
      <c r="A560" s="443" t="s">
        <v>4145</v>
      </c>
      <c r="B560" s="443" t="s">
        <v>4358</v>
      </c>
      <c r="C560" s="443" t="s">
        <v>4155</v>
      </c>
      <c r="D560" s="444" t="s">
        <v>4359</v>
      </c>
      <c r="E560" s="443" t="s">
        <v>2477</v>
      </c>
      <c r="F560" s="445">
        <v>9</v>
      </c>
      <c r="G560" s="446">
        <v>0.92</v>
      </c>
      <c r="H560" s="446">
        <f t="shared" si="60"/>
        <v>8.2800000000000011</v>
      </c>
    </row>
    <row r="561" spans="1:8" ht="39" customHeight="1">
      <c r="A561" s="443" t="s">
        <v>4145</v>
      </c>
      <c r="B561" s="443" t="s">
        <v>4360</v>
      </c>
      <c r="C561" s="443" t="s">
        <v>4155</v>
      </c>
      <c r="D561" s="444" t="s">
        <v>4361</v>
      </c>
      <c r="E561" s="443" t="s">
        <v>2477</v>
      </c>
      <c r="F561" s="445">
        <v>4</v>
      </c>
      <c r="G561" s="446">
        <v>0.48</v>
      </c>
      <c r="H561" s="446">
        <f t="shared" si="60"/>
        <v>1.92</v>
      </c>
    </row>
    <row r="562" spans="1:8" ht="25.95" customHeight="1">
      <c r="A562" s="443" t="s">
        <v>4145</v>
      </c>
      <c r="B562" s="443" t="s">
        <v>4362</v>
      </c>
      <c r="C562" s="443" t="s">
        <v>4155</v>
      </c>
      <c r="D562" s="444" t="s">
        <v>4363</v>
      </c>
      <c r="E562" s="443" t="s">
        <v>2477</v>
      </c>
      <c r="F562" s="445">
        <v>6</v>
      </c>
      <c r="G562" s="446">
        <v>1.28</v>
      </c>
      <c r="H562" s="446">
        <f t="shared" si="60"/>
        <v>7.68</v>
      </c>
    </row>
    <row r="563" spans="1:8" ht="14.4" customHeight="1">
      <c r="A563" s="578" t="s">
        <v>4474</v>
      </c>
      <c r="B563" s="579"/>
      <c r="C563" s="579"/>
      <c r="D563" s="579"/>
      <c r="E563" s="579"/>
      <c r="F563" s="579"/>
      <c r="G563" s="580"/>
      <c r="H563" s="462">
        <f>ROUND((H556*1.2592),2)</f>
        <v>132.47999999999999</v>
      </c>
    </row>
    <row r="564" spans="1:8">
      <c r="A564" s="576" t="s">
        <v>4150</v>
      </c>
      <c r="B564" s="576"/>
      <c r="C564" s="576"/>
      <c r="D564" s="576"/>
      <c r="E564" s="576"/>
      <c r="F564" s="576"/>
      <c r="G564" s="576"/>
      <c r="H564" s="576"/>
    </row>
    <row r="565" spans="1:8" ht="15" thickBot="1">
      <c r="A565" s="575" t="s">
        <v>4364</v>
      </c>
      <c r="B565" s="575"/>
      <c r="C565" s="575"/>
      <c r="D565" s="575"/>
      <c r="E565" s="575"/>
      <c r="F565" s="575"/>
      <c r="G565" s="575"/>
      <c r="H565" s="575"/>
    </row>
    <row r="566" spans="1:8" ht="15" thickTop="1">
      <c r="A566" s="403"/>
      <c r="B566" s="403"/>
      <c r="C566" s="403"/>
      <c r="D566" s="403"/>
      <c r="E566" s="403"/>
      <c r="F566" s="439"/>
      <c r="G566" s="439"/>
      <c r="H566" s="439"/>
    </row>
    <row r="567" spans="1:8">
      <c r="A567" s="441" t="s">
        <v>4365</v>
      </c>
      <c r="B567" s="441" t="s">
        <v>4137</v>
      </c>
      <c r="C567" s="441" t="s">
        <v>4138</v>
      </c>
      <c r="D567" s="442" t="s">
        <v>4139</v>
      </c>
      <c r="E567" s="441" t="s">
        <v>2723</v>
      </c>
      <c r="F567" s="441" t="s">
        <v>4140</v>
      </c>
      <c r="G567" s="441" t="s">
        <v>4141</v>
      </c>
      <c r="H567" s="441" t="s">
        <v>4142</v>
      </c>
    </row>
    <row r="568" spans="1:8" ht="25.95" customHeight="1">
      <c r="A568" s="447" t="s">
        <v>4143</v>
      </c>
      <c r="B568" s="447" t="s">
        <v>4473</v>
      </c>
      <c r="C568" s="447" t="s">
        <v>4144</v>
      </c>
      <c r="D568" s="448" t="s">
        <v>3757</v>
      </c>
      <c r="E568" s="447" t="s">
        <v>3056</v>
      </c>
      <c r="F568" s="449">
        <v>1</v>
      </c>
      <c r="G568" s="450">
        <v>557.26</v>
      </c>
      <c r="H568" s="450">
        <f>ROUND((SUM(H569:H579)),2)</f>
        <v>557.26</v>
      </c>
    </row>
    <row r="569" spans="1:8" ht="24" customHeight="1">
      <c r="A569" s="443" t="s">
        <v>4145</v>
      </c>
      <c r="B569" s="443" t="s">
        <v>4154</v>
      </c>
      <c r="C569" s="443" t="s">
        <v>4155</v>
      </c>
      <c r="D569" s="444" t="s">
        <v>4156</v>
      </c>
      <c r="E569" s="443" t="s">
        <v>4157</v>
      </c>
      <c r="F569" s="445">
        <v>2.3334000000000001</v>
      </c>
      <c r="G569" s="446">
        <v>17.75</v>
      </c>
      <c r="H569" s="446">
        <f t="shared" ref="H569:H579" si="61">G569*F569</f>
        <v>41.417850000000001</v>
      </c>
    </row>
    <row r="570" spans="1:8" ht="24" customHeight="1">
      <c r="A570" s="443" t="s">
        <v>4145</v>
      </c>
      <c r="B570" s="443" t="s">
        <v>4354</v>
      </c>
      <c r="C570" s="443" t="s">
        <v>4155</v>
      </c>
      <c r="D570" s="444" t="s">
        <v>4355</v>
      </c>
      <c r="E570" s="443" t="s">
        <v>4157</v>
      </c>
      <c r="F570" s="445">
        <v>2.3334000000000001</v>
      </c>
      <c r="G570" s="446">
        <v>12.07</v>
      </c>
      <c r="H570" s="446">
        <f t="shared" si="61"/>
        <v>28.164138000000001</v>
      </c>
    </row>
    <row r="571" spans="1:8" ht="39" customHeight="1">
      <c r="A571" s="443" t="s">
        <v>4145</v>
      </c>
      <c r="B571" s="443" t="s">
        <v>4356</v>
      </c>
      <c r="C571" s="443" t="s">
        <v>4155</v>
      </c>
      <c r="D571" s="444" t="s">
        <v>4357</v>
      </c>
      <c r="E571" s="443" t="s">
        <v>2477</v>
      </c>
      <c r="F571" s="445">
        <v>10</v>
      </c>
      <c r="G571" s="446">
        <v>0.88</v>
      </c>
      <c r="H571" s="446">
        <f t="shared" si="61"/>
        <v>8.8000000000000007</v>
      </c>
    </row>
    <row r="572" spans="1:8" ht="39" customHeight="1">
      <c r="A572" s="443" t="s">
        <v>4145</v>
      </c>
      <c r="B572" s="443" t="s">
        <v>4358</v>
      </c>
      <c r="C572" s="443" t="s">
        <v>4155</v>
      </c>
      <c r="D572" s="444" t="s">
        <v>4359</v>
      </c>
      <c r="E572" s="443" t="s">
        <v>2477</v>
      </c>
      <c r="F572" s="445">
        <v>9</v>
      </c>
      <c r="G572" s="446">
        <v>0.92</v>
      </c>
      <c r="H572" s="446">
        <f t="shared" si="61"/>
        <v>8.2800000000000011</v>
      </c>
    </row>
    <row r="573" spans="1:8" ht="25.95" customHeight="1">
      <c r="A573" s="443" t="s">
        <v>4145</v>
      </c>
      <c r="B573" s="443" t="s">
        <v>4362</v>
      </c>
      <c r="C573" s="443" t="s">
        <v>4155</v>
      </c>
      <c r="D573" s="444" t="s">
        <v>4363</v>
      </c>
      <c r="E573" s="443" t="s">
        <v>2477</v>
      </c>
      <c r="F573" s="445">
        <v>6</v>
      </c>
      <c r="G573" s="446">
        <v>1.28</v>
      </c>
      <c r="H573" s="446">
        <f t="shared" si="61"/>
        <v>7.68</v>
      </c>
    </row>
    <row r="574" spans="1:8" ht="39" customHeight="1">
      <c r="A574" s="443" t="s">
        <v>4145</v>
      </c>
      <c r="B574" s="443" t="s">
        <v>4360</v>
      </c>
      <c r="C574" s="443" t="s">
        <v>4155</v>
      </c>
      <c r="D574" s="444" t="s">
        <v>4361</v>
      </c>
      <c r="E574" s="443" t="s">
        <v>2477</v>
      </c>
      <c r="F574" s="445">
        <v>4</v>
      </c>
      <c r="G574" s="446">
        <v>0.48</v>
      </c>
      <c r="H574" s="446">
        <f t="shared" si="61"/>
        <v>1.92</v>
      </c>
    </row>
    <row r="575" spans="1:8" ht="25.95" customHeight="1">
      <c r="A575" s="443" t="s">
        <v>4145</v>
      </c>
      <c r="B575" s="443" t="s">
        <v>4366</v>
      </c>
      <c r="C575" s="443" t="s">
        <v>4155</v>
      </c>
      <c r="D575" s="444" t="s">
        <v>4367</v>
      </c>
      <c r="E575" s="443" t="s">
        <v>2477</v>
      </c>
      <c r="F575" s="445">
        <v>2</v>
      </c>
      <c r="G575" s="446">
        <v>26.35</v>
      </c>
      <c r="H575" s="446">
        <f t="shared" si="61"/>
        <v>52.7</v>
      </c>
    </row>
    <row r="576" spans="1:8" ht="39" customHeight="1">
      <c r="A576" s="443" t="s">
        <v>4145</v>
      </c>
      <c r="B576" s="443" t="s">
        <v>4368</v>
      </c>
      <c r="C576" s="443" t="s">
        <v>4155</v>
      </c>
      <c r="D576" s="444" t="s">
        <v>4369</v>
      </c>
      <c r="E576" s="443" t="s">
        <v>2487</v>
      </c>
      <c r="F576" s="445">
        <v>3</v>
      </c>
      <c r="G576" s="446">
        <v>19.02</v>
      </c>
      <c r="H576" s="446">
        <f t="shared" si="61"/>
        <v>57.06</v>
      </c>
    </row>
    <row r="577" spans="1:8" ht="39" customHeight="1">
      <c r="A577" s="443" t="s">
        <v>4145</v>
      </c>
      <c r="B577" s="443" t="s">
        <v>4370</v>
      </c>
      <c r="C577" s="443" t="s">
        <v>4155</v>
      </c>
      <c r="D577" s="444" t="s">
        <v>4371</v>
      </c>
      <c r="E577" s="443" t="s">
        <v>2487</v>
      </c>
      <c r="F577" s="445">
        <v>3</v>
      </c>
      <c r="G577" s="446">
        <v>29.27</v>
      </c>
      <c r="H577" s="446">
        <f t="shared" si="61"/>
        <v>87.81</v>
      </c>
    </row>
    <row r="578" spans="1:8" ht="52.05" customHeight="1">
      <c r="A578" s="443" t="s">
        <v>4145</v>
      </c>
      <c r="B578" s="443" t="s">
        <v>4372</v>
      </c>
      <c r="C578" s="443" t="s">
        <v>4155</v>
      </c>
      <c r="D578" s="444" t="s">
        <v>4373</v>
      </c>
      <c r="E578" s="443" t="s">
        <v>2487</v>
      </c>
      <c r="F578" s="445">
        <v>3</v>
      </c>
      <c r="G578" s="446">
        <v>76.13</v>
      </c>
      <c r="H578" s="446">
        <f t="shared" si="61"/>
        <v>228.39</v>
      </c>
    </row>
    <row r="579" spans="1:8" ht="52.05" customHeight="1">
      <c r="A579" s="443" t="s">
        <v>4145</v>
      </c>
      <c r="B579" s="443" t="s">
        <v>4374</v>
      </c>
      <c r="C579" s="443" t="s">
        <v>4155</v>
      </c>
      <c r="D579" s="444" t="s">
        <v>4375</v>
      </c>
      <c r="E579" s="443" t="s">
        <v>2487</v>
      </c>
      <c r="F579" s="445">
        <v>3</v>
      </c>
      <c r="G579" s="446">
        <v>11.68</v>
      </c>
      <c r="H579" s="446">
        <f t="shared" si="61"/>
        <v>35.04</v>
      </c>
    </row>
    <row r="580" spans="1:8" ht="14.4" customHeight="1">
      <c r="A580" s="578" t="s">
        <v>4474</v>
      </c>
      <c r="B580" s="579"/>
      <c r="C580" s="579"/>
      <c r="D580" s="579"/>
      <c r="E580" s="579"/>
      <c r="F580" s="579"/>
      <c r="G580" s="580"/>
      <c r="H580" s="462">
        <f>ROUND((H568*1.2592),2)</f>
        <v>701.7</v>
      </c>
    </row>
    <row r="581" spans="1:8">
      <c r="A581" s="576" t="s">
        <v>4150</v>
      </c>
      <c r="B581" s="576"/>
      <c r="C581" s="576"/>
      <c r="D581" s="576"/>
      <c r="E581" s="576"/>
      <c r="F581" s="576"/>
      <c r="G581" s="576"/>
      <c r="H581" s="576"/>
    </row>
    <row r="582" spans="1:8" ht="15" thickBot="1">
      <c r="A582" s="575" t="s">
        <v>4376</v>
      </c>
      <c r="B582" s="575"/>
      <c r="C582" s="575"/>
      <c r="D582" s="575"/>
      <c r="E582" s="575"/>
      <c r="F582" s="575"/>
      <c r="G582" s="575"/>
      <c r="H582" s="575"/>
    </row>
    <row r="583" spans="1:8" ht="1.05" customHeight="1" thickTop="1">
      <c r="A583" s="403"/>
      <c r="B583" s="403"/>
      <c r="C583" s="403"/>
      <c r="D583" s="403"/>
      <c r="E583" s="403"/>
      <c r="F583" s="439"/>
      <c r="G583" s="439"/>
      <c r="H583" s="439"/>
    </row>
    <row r="584" spans="1:8" ht="49.95" customHeight="1">
      <c r="A584" s="577"/>
      <c r="B584" s="565"/>
      <c r="C584" s="565"/>
      <c r="D584" s="565"/>
      <c r="E584" s="565"/>
      <c r="F584" s="565"/>
      <c r="G584" s="565"/>
      <c r="H584" s="565"/>
    </row>
    <row r="585" spans="1:8">
      <c r="A585" s="404"/>
      <c r="B585" s="404"/>
      <c r="C585" s="404"/>
      <c r="D585" s="404"/>
      <c r="E585" s="404"/>
      <c r="F585" s="404"/>
      <c r="G585" s="404"/>
      <c r="H585" s="404"/>
    </row>
    <row r="586" spans="1:8">
      <c r="A586" s="561"/>
      <c r="B586" s="561"/>
      <c r="C586" s="561"/>
      <c r="D586" s="402"/>
      <c r="E586" s="405"/>
      <c r="F586" s="562"/>
      <c r="G586" s="563"/>
      <c r="H586" s="563"/>
    </row>
    <row r="587" spans="1:8">
      <c r="A587" s="561"/>
      <c r="B587" s="561"/>
      <c r="C587" s="561"/>
      <c r="D587" s="402"/>
      <c r="E587" s="405"/>
      <c r="F587" s="562"/>
      <c r="G587" s="563"/>
      <c r="H587" s="563"/>
    </row>
    <row r="588" spans="1:8">
      <c r="A588" s="561"/>
      <c r="B588" s="561"/>
      <c r="C588" s="561"/>
      <c r="D588" s="402"/>
      <c r="E588" s="405"/>
      <c r="F588" s="562"/>
      <c r="G588" s="563"/>
      <c r="H588" s="563"/>
    </row>
    <row r="589" spans="1:8" ht="60" customHeight="1">
      <c r="A589" s="406"/>
      <c r="B589" s="406"/>
      <c r="C589" s="406"/>
      <c r="D589" s="406"/>
      <c r="E589" s="406"/>
      <c r="F589" s="406"/>
      <c r="G589" s="406"/>
      <c r="H589" s="406"/>
    </row>
    <row r="590" spans="1:8" ht="70.05" customHeight="1">
      <c r="A590" s="564"/>
      <c r="B590" s="565"/>
      <c r="C590" s="565"/>
      <c r="D590" s="565"/>
      <c r="E590" s="565"/>
      <c r="F590" s="565"/>
      <c r="G590" s="565"/>
      <c r="H590" s="565"/>
    </row>
  </sheetData>
  <mergeCells count="195">
    <mergeCell ref="A19:H19"/>
    <mergeCell ref="A25:H25"/>
    <mergeCell ref="A26:H26"/>
    <mergeCell ref="A33:H33"/>
    <mergeCell ref="A49:H49"/>
    <mergeCell ref="A55:H55"/>
    <mergeCell ref="A56:H56"/>
    <mergeCell ref="A63:H63"/>
    <mergeCell ref="A54:G54"/>
    <mergeCell ref="A62:G62"/>
    <mergeCell ref="A34:H34"/>
    <mergeCell ref="A41:H41"/>
    <mergeCell ref="A42:H42"/>
    <mergeCell ref="A48:H48"/>
    <mergeCell ref="A40:G40"/>
    <mergeCell ref="A47:G47"/>
    <mergeCell ref="A79:H79"/>
    <mergeCell ref="A86:H86"/>
    <mergeCell ref="A87:H87"/>
    <mergeCell ref="A93:H93"/>
    <mergeCell ref="A85:G85"/>
    <mergeCell ref="A92:G92"/>
    <mergeCell ref="A64:H64"/>
    <mergeCell ref="A70:H70"/>
    <mergeCell ref="A71:H71"/>
    <mergeCell ref="A78:H78"/>
    <mergeCell ref="A69:G69"/>
    <mergeCell ref="A77:G77"/>
    <mergeCell ref="A116:H116"/>
    <mergeCell ref="A117:H117"/>
    <mergeCell ref="A123:H123"/>
    <mergeCell ref="A124:H124"/>
    <mergeCell ref="A122:G122"/>
    <mergeCell ref="A131:G131"/>
    <mergeCell ref="A94:H94"/>
    <mergeCell ref="A100:H100"/>
    <mergeCell ref="A101:H101"/>
    <mergeCell ref="A99:G99"/>
    <mergeCell ref="A107:G107"/>
    <mergeCell ref="A115:G115"/>
    <mergeCell ref="A150:H150"/>
    <mergeCell ref="A151:H151"/>
    <mergeCell ref="A159:H159"/>
    <mergeCell ref="A160:H160"/>
    <mergeCell ref="A158:G158"/>
    <mergeCell ref="A167:G167"/>
    <mergeCell ref="A132:H132"/>
    <mergeCell ref="A133:H133"/>
    <mergeCell ref="A141:H141"/>
    <mergeCell ref="A142:H142"/>
    <mergeCell ref="A140:G140"/>
    <mergeCell ref="A149:G149"/>
    <mergeCell ref="A186:H186"/>
    <mergeCell ref="A187:H187"/>
    <mergeCell ref="A195:H195"/>
    <mergeCell ref="A196:H196"/>
    <mergeCell ref="A194:G194"/>
    <mergeCell ref="A203:G203"/>
    <mergeCell ref="A168:H168"/>
    <mergeCell ref="A169:H169"/>
    <mergeCell ref="A177:H177"/>
    <mergeCell ref="A178:H178"/>
    <mergeCell ref="A176:G176"/>
    <mergeCell ref="A185:G185"/>
    <mergeCell ref="A222:H222"/>
    <mergeCell ref="A223:H223"/>
    <mergeCell ref="A231:H231"/>
    <mergeCell ref="A232:H232"/>
    <mergeCell ref="A230:G230"/>
    <mergeCell ref="A239:G239"/>
    <mergeCell ref="A204:H204"/>
    <mergeCell ref="A205:H205"/>
    <mergeCell ref="A213:H213"/>
    <mergeCell ref="A214:H214"/>
    <mergeCell ref="A212:G212"/>
    <mergeCell ref="A221:G221"/>
    <mergeCell ref="A258:H258"/>
    <mergeCell ref="A259:H259"/>
    <mergeCell ref="A267:H267"/>
    <mergeCell ref="A268:H268"/>
    <mergeCell ref="A266:G266"/>
    <mergeCell ref="A275:G275"/>
    <mergeCell ref="A240:H240"/>
    <mergeCell ref="A241:H241"/>
    <mergeCell ref="A249:H249"/>
    <mergeCell ref="A250:H250"/>
    <mergeCell ref="A248:G248"/>
    <mergeCell ref="A257:G257"/>
    <mergeCell ref="A294:H294"/>
    <mergeCell ref="A295:H295"/>
    <mergeCell ref="A302:H302"/>
    <mergeCell ref="A303:H303"/>
    <mergeCell ref="A301:G301"/>
    <mergeCell ref="A309:G309"/>
    <mergeCell ref="A276:H276"/>
    <mergeCell ref="A277:H277"/>
    <mergeCell ref="A285:H285"/>
    <mergeCell ref="A286:H286"/>
    <mergeCell ref="A284:G284"/>
    <mergeCell ref="A293:G293"/>
    <mergeCell ref="A331:H331"/>
    <mergeCell ref="A332:H332"/>
    <mergeCell ref="A343:H343"/>
    <mergeCell ref="A344:H344"/>
    <mergeCell ref="A342:G342"/>
    <mergeCell ref="A352:G352"/>
    <mergeCell ref="A310:H310"/>
    <mergeCell ref="A311:H311"/>
    <mergeCell ref="A319:H319"/>
    <mergeCell ref="A320:H320"/>
    <mergeCell ref="A318:G318"/>
    <mergeCell ref="A330:G330"/>
    <mergeCell ref="A370:H370"/>
    <mergeCell ref="A371:H371"/>
    <mergeCell ref="A380:H380"/>
    <mergeCell ref="A381:H381"/>
    <mergeCell ref="A379:G379"/>
    <mergeCell ref="A388:G388"/>
    <mergeCell ref="A353:H353"/>
    <mergeCell ref="A354:H354"/>
    <mergeCell ref="A361:H361"/>
    <mergeCell ref="A362:H362"/>
    <mergeCell ref="A360:G360"/>
    <mergeCell ref="A369:G369"/>
    <mergeCell ref="A410:H410"/>
    <mergeCell ref="A411:H411"/>
    <mergeCell ref="A409:G409"/>
    <mergeCell ref="A418:G418"/>
    <mergeCell ref="A425:G425"/>
    <mergeCell ref="A431:G431"/>
    <mergeCell ref="A389:H389"/>
    <mergeCell ref="A390:H390"/>
    <mergeCell ref="A402:H402"/>
    <mergeCell ref="A403:H403"/>
    <mergeCell ref="A395:G395"/>
    <mergeCell ref="A401:G401"/>
    <mergeCell ref="A449:H449"/>
    <mergeCell ref="A461:H461"/>
    <mergeCell ref="A462:H462"/>
    <mergeCell ref="A460:G460"/>
    <mergeCell ref="A471:G471"/>
    <mergeCell ref="A432:H432"/>
    <mergeCell ref="A433:H433"/>
    <mergeCell ref="A440:H440"/>
    <mergeCell ref="A441:H441"/>
    <mergeCell ref="A439:G439"/>
    <mergeCell ref="A447:G447"/>
    <mergeCell ref="A590:H590"/>
    <mergeCell ref="A1:H1"/>
    <mergeCell ref="B3:H3"/>
    <mergeCell ref="B4:H4"/>
    <mergeCell ref="B5:H5"/>
    <mergeCell ref="F9:G9"/>
    <mergeCell ref="A565:H565"/>
    <mergeCell ref="A581:H581"/>
    <mergeCell ref="A582:H582"/>
    <mergeCell ref="A584:H584"/>
    <mergeCell ref="A586:C586"/>
    <mergeCell ref="F586:H586"/>
    <mergeCell ref="A580:G580"/>
    <mergeCell ref="A544:H544"/>
    <mergeCell ref="A545:H545"/>
    <mergeCell ref="A564:H564"/>
    <mergeCell ref="A543:G543"/>
    <mergeCell ref="A553:G553"/>
    <mergeCell ref="A563:G563"/>
    <mergeCell ref="A515:H515"/>
    <mergeCell ref="A516:H516"/>
    <mergeCell ref="A527:H527"/>
    <mergeCell ref="A528:H528"/>
    <mergeCell ref="A526:G526"/>
    <mergeCell ref="F13:G13"/>
    <mergeCell ref="F14:G14"/>
    <mergeCell ref="E16:F16"/>
    <mergeCell ref="G16:H16"/>
    <mergeCell ref="A24:G24"/>
    <mergeCell ref="A32:G32"/>
    <mergeCell ref="A587:C587"/>
    <mergeCell ref="F587:H587"/>
    <mergeCell ref="A588:C588"/>
    <mergeCell ref="F588:H588"/>
    <mergeCell ref="A535:G535"/>
    <mergeCell ref="A492:H492"/>
    <mergeCell ref="A493:H493"/>
    <mergeCell ref="A503:H503"/>
    <mergeCell ref="A504:H504"/>
    <mergeCell ref="A502:G502"/>
    <mergeCell ref="A514:G514"/>
    <mergeCell ref="A472:H472"/>
    <mergeCell ref="A473:H473"/>
    <mergeCell ref="A480:H480"/>
    <mergeCell ref="A481:H481"/>
    <mergeCell ref="A479:G479"/>
    <mergeCell ref="A491:G491"/>
    <mergeCell ref="A448:H448"/>
  </mergeCells>
  <pageMargins left="0.51181102362204722" right="0.51181102362204722" top="0.98425196850393704" bottom="0.78740157480314965" header="0.31496062992125984" footer="0.31496062992125984"/>
  <pageSetup paperSize="9" scale="56" fitToHeight="0" orientation="portrait" r:id="rId1"/>
  <headerFooter>
    <oddHeader>&amp;C&amp;G</oddHeader>
    <oddFooter>&amp;L&amp;G&amp;CPágina &amp;P de &amp;N&amp;R_______________________________
Lorena Araújo Silva
Eng. Civil CREA 1015611540D -GO</oddFooter>
  </headerFooter>
  <ignoredErrors>
    <ignoredError sqref="B327:B329"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FF99-A7F7-4D82-84DA-1A94FAC4161F}">
  <sheetPr>
    <pageSetUpPr fitToPage="1"/>
  </sheetPr>
  <dimension ref="A1:R276"/>
  <sheetViews>
    <sheetView topLeftCell="A185" zoomScale="90" zoomScaleNormal="90" workbookViewId="0">
      <selection activeCell="D207" sqref="D207"/>
    </sheetView>
  </sheetViews>
  <sheetFormatPr defaultRowHeight="14.4"/>
  <cols>
    <col min="1" max="1" width="9.21875" customWidth="1"/>
    <col min="2" max="2" width="14" customWidth="1"/>
    <col min="3" max="3" width="13.21875" customWidth="1"/>
    <col min="4" max="4" width="66.6640625" bestFit="1" customWidth="1"/>
    <col min="5" max="5" width="5.5546875" bestFit="1" customWidth="1"/>
    <col min="6" max="6" width="11.109375" bestFit="1" customWidth="1"/>
    <col min="7" max="7" width="11.5546875" customWidth="1"/>
    <col min="8" max="11" width="11.109375" customWidth="1"/>
    <col min="12" max="12" width="12.5546875" customWidth="1"/>
    <col min="13" max="13" width="13.109375" customWidth="1"/>
    <col min="14" max="14" width="14.6640625" customWidth="1"/>
    <col min="15" max="16" width="10.88671875" hidden="1" customWidth="1"/>
    <col min="17" max="17" width="0" hidden="1" customWidth="1"/>
    <col min="18" max="18" width="13.33203125" hidden="1" customWidth="1"/>
  </cols>
  <sheetData>
    <row r="1" spans="1:14" ht="16.2" thickBot="1">
      <c r="A1" s="566" t="s">
        <v>4488</v>
      </c>
      <c r="B1" s="567"/>
      <c r="C1" s="567"/>
      <c r="D1" s="567"/>
      <c r="E1" s="567"/>
      <c r="F1" s="567"/>
      <c r="G1" s="567"/>
      <c r="H1" s="567"/>
      <c r="I1" s="567"/>
      <c r="J1" s="567"/>
      <c r="K1" s="567"/>
      <c r="L1" s="567"/>
      <c r="M1" s="567"/>
      <c r="N1" s="568"/>
    </row>
    <row r="2" spans="1:14" ht="16.2" thickBot="1">
      <c r="A2" s="407"/>
      <c r="B2" s="407"/>
      <c r="C2" s="407"/>
      <c r="D2" s="434"/>
      <c r="E2" s="407"/>
      <c r="F2" s="407"/>
      <c r="G2" s="407"/>
      <c r="H2" s="407"/>
      <c r="I2" s="407"/>
      <c r="J2" s="407"/>
      <c r="K2" s="2"/>
      <c r="L2" s="2"/>
      <c r="M2" s="2"/>
      <c r="N2" s="484"/>
    </row>
    <row r="3" spans="1:14">
      <c r="A3" s="410" t="s">
        <v>1</v>
      </c>
      <c r="B3" s="569" t="s">
        <v>3976</v>
      </c>
      <c r="C3" s="569"/>
      <c r="D3" s="569"/>
      <c r="E3" s="569"/>
      <c r="F3" s="569"/>
      <c r="G3" s="569"/>
      <c r="H3" s="569"/>
      <c r="I3" s="569"/>
      <c r="J3" s="569"/>
      <c r="K3" s="569"/>
      <c r="L3" s="569"/>
      <c r="M3" s="569"/>
      <c r="N3" s="570"/>
    </row>
    <row r="4" spans="1:14">
      <c r="A4" s="411" t="s">
        <v>2</v>
      </c>
      <c r="B4" s="572" t="s">
        <v>4378</v>
      </c>
      <c r="C4" s="572"/>
      <c r="D4" s="572"/>
      <c r="E4" s="572"/>
      <c r="F4" s="572"/>
      <c r="G4" s="572"/>
      <c r="H4" s="572"/>
      <c r="I4" s="572"/>
      <c r="J4" s="572"/>
      <c r="K4" s="572"/>
      <c r="L4" s="572"/>
      <c r="M4" s="572"/>
      <c r="N4" s="572"/>
    </row>
    <row r="5" spans="1:14" ht="15" thickBot="1">
      <c r="A5" s="412" t="s">
        <v>3</v>
      </c>
      <c r="B5" s="573">
        <v>45119</v>
      </c>
      <c r="C5" s="573"/>
      <c r="D5" s="573"/>
      <c r="E5" s="573"/>
      <c r="F5" s="573"/>
      <c r="G5" s="573"/>
      <c r="H5" s="573"/>
      <c r="I5" s="573"/>
      <c r="J5" s="573"/>
      <c r="K5" s="573"/>
      <c r="L5" s="573"/>
      <c r="M5" s="573"/>
      <c r="N5" s="574"/>
    </row>
    <row r="6" spans="1:14">
      <c r="A6" s="413"/>
      <c r="B6" s="414"/>
      <c r="C6" s="414"/>
      <c r="D6" s="435"/>
      <c r="E6" s="414"/>
      <c r="F6" s="414"/>
      <c r="G6" s="414"/>
      <c r="H6" s="414"/>
      <c r="I6" s="414"/>
      <c r="J6" s="414"/>
      <c r="K6" s="2"/>
      <c r="L6" s="2"/>
      <c r="M6" s="2"/>
      <c r="N6" s="484"/>
    </row>
    <row r="7" spans="1:14">
      <c r="A7" s="417" t="s">
        <v>4090</v>
      </c>
      <c r="B7" s="418"/>
      <c r="C7" s="418"/>
      <c r="D7" s="435"/>
      <c r="E7" s="414"/>
      <c r="F7" s="414"/>
      <c r="G7" s="414"/>
      <c r="H7" s="414"/>
      <c r="I7" s="414"/>
      <c r="J7" s="414"/>
      <c r="K7" s="2"/>
      <c r="L7" s="2"/>
      <c r="M7" s="2"/>
      <c r="N7" s="484"/>
    </row>
    <row r="8" spans="1:14" ht="15.6">
      <c r="A8" s="419" t="s">
        <v>4379</v>
      </c>
      <c r="B8" s="420"/>
      <c r="C8" s="421"/>
      <c r="D8" s="435"/>
      <c r="E8" s="414"/>
      <c r="F8" s="414"/>
      <c r="G8" s="414"/>
      <c r="H8" s="414"/>
      <c r="I8" s="414"/>
      <c r="J8" s="414"/>
      <c r="K8" s="2"/>
      <c r="L8" s="2"/>
      <c r="M8" s="2"/>
      <c r="N8" s="484"/>
    </row>
    <row r="9" spans="1:14" ht="15">
      <c r="A9" s="419" t="s">
        <v>4380</v>
      </c>
      <c r="B9" s="422"/>
      <c r="C9" s="421"/>
      <c r="D9" s="435"/>
      <c r="E9" s="414"/>
      <c r="F9" s="414"/>
      <c r="G9" s="414"/>
      <c r="H9" s="558"/>
      <c r="I9" s="558"/>
      <c r="J9" s="424"/>
      <c r="K9" s="2"/>
      <c r="L9" s="2"/>
      <c r="M9" s="2"/>
      <c r="N9" s="484"/>
    </row>
    <row r="10" spans="1:14" ht="15">
      <c r="A10" s="419"/>
      <c r="B10" s="422"/>
      <c r="C10" s="421"/>
      <c r="D10" s="435"/>
      <c r="E10" s="414"/>
      <c r="F10" s="414"/>
      <c r="G10" s="414"/>
      <c r="H10" s="423"/>
      <c r="I10" s="423"/>
      <c r="J10" s="424"/>
      <c r="K10" s="2"/>
      <c r="L10" s="2"/>
      <c r="M10" s="2"/>
      <c r="N10" s="484"/>
    </row>
    <row r="11" spans="1:14" ht="15">
      <c r="A11" s="419" t="s">
        <v>4494</v>
      </c>
      <c r="B11" s="422"/>
      <c r="C11" s="421"/>
      <c r="D11" s="435"/>
      <c r="E11" s="414"/>
      <c r="F11" s="414"/>
      <c r="G11" s="414"/>
      <c r="H11" s="423"/>
      <c r="I11" s="423"/>
      <c r="J11" s="424"/>
      <c r="K11" s="2"/>
      <c r="L11" s="590" t="s">
        <v>4091</v>
      </c>
      <c r="M11" s="590"/>
      <c r="N11" s="374">
        <f>L274</f>
        <v>1707910.44</v>
      </c>
    </row>
    <row r="12" spans="1:14" ht="15">
      <c r="A12" s="419" t="s">
        <v>4380</v>
      </c>
      <c r="B12" s="422"/>
      <c r="C12" s="421"/>
      <c r="D12" s="435"/>
      <c r="E12" s="414"/>
      <c r="F12" s="414"/>
      <c r="G12" s="414"/>
      <c r="H12" s="423"/>
      <c r="I12" s="423"/>
      <c r="J12" s="424"/>
      <c r="K12" s="2"/>
      <c r="L12" s="590" t="s">
        <v>4092</v>
      </c>
      <c r="M12" s="590"/>
      <c r="N12" s="485">
        <v>0.25919999999999999</v>
      </c>
    </row>
    <row r="13" spans="1:14" ht="15.6">
      <c r="A13" s="426"/>
      <c r="B13" s="427"/>
      <c r="C13" s="421"/>
      <c r="D13" s="435"/>
      <c r="E13" s="414"/>
      <c r="F13" s="414"/>
      <c r="G13" s="414"/>
      <c r="H13" s="558"/>
      <c r="I13" s="558"/>
      <c r="J13" s="428"/>
      <c r="K13" s="2"/>
      <c r="L13" s="590" t="s">
        <v>4093</v>
      </c>
      <c r="M13" s="590"/>
      <c r="N13" s="485">
        <v>0.14899999999999999</v>
      </c>
    </row>
    <row r="14" spans="1:14">
      <c r="A14" s="417" t="s">
        <v>4094</v>
      </c>
      <c r="B14" s="418"/>
      <c r="C14" s="418"/>
      <c r="D14" s="435"/>
      <c r="E14" s="414"/>
      <c r="F14" s="414"/>
      <c r="G14" s="414"/>
      <c r="H14" s="558"/>
      <c r="I14" s="558"/>
      <c r="J14" s="428"/>
      <c r="K14" s="2"/>
      <c r="L14" s="2"/>
      <c r="M14" s="2"/>
      <c r="N14" s="484"/>
    </row>
    <row r="15" spans="1:14" ht="15">
      <c r="A15" s="419" t="s">
        <v>4381</v>
      </c>
      <c r="B15" s="427"/>
      <c r="C15" s="421"/>
      <c r="D15" s="435"/>
      <c r="E15" s="414"/>
      <c r="F15" s="414"/>
      <c r="G15" s="414"/>
      <c r="H15" s="414"/>
      <c r="I15" s="414"/>
      <c r="J15" s="414"/>
      <c r="K15" s="2"/>
      <c r="L15" s="2"/>
      <c r="M15" s="2"/>
      <c r="N15" s="484"/>
    </row>
    <row r="16" spans="1:14" ht="15">
      <c r="A16" s="419" t="s">
        <v>4382</v>
      </c>
      <c r="B16" s="427"/>
      <c r="C16" s="421"/>
      <c r="D16" s="500"/>
      <c r="E16" s="559"/>
      <c r="F16" s="559"/>
      <c r="G16" s="559"/>
      <c r="H16" s="559"/>
      <c r="I16" s="559"/>
      <c r="J16" s="559"/>
      <c r="K16" s="2"/>
      <c r="L16" s="2"/>
      <c r="M16" s="2"/>
      <c r="N16" s="484"/>
    </row>
    <row r="17" spans="1:18">
      <c r="A17" s="486"/>
      <c r="B17" s="486"/>
      <c r="C17" s="486"/>
      <c r="D17" s="501"/>
      <c r="E17" s="586"/>
      <c r="F17" s="586"/>
      <c r="G17" s="586"/>
      <c r="H17" s="587"/>
      <c r="I17" s="587"/>
      <c r="J17" s="587"/>
      <c r="K17" s="587"/>
      <c r="L17" s="587"/>
      <c r="M17" s="587"/>
      <c r="N17" s="587"/>
    </row>
    <row r="18" spans="1:18">
      <c r="A18" s="400"/>
      <c r="B18" s="400"/>
      <c r="C18" s="400"/>
      <c r="D18" s="502"/>
      <c r="E18" s="588"/>
      <c r="F18" s="588"/>
      <c r="G18" s="588"/>
      <c r="H18" s="589"/>
      <c r="I18" s="589"/>
      <c r="J18" s="589"/>
      <c r="K18" s="589"/>
      <c r="L18" s="589"/>
      <c r="M18" s="589"/>
      <c r="N18" s="589"/>
    </row>
    <row r="19" spans="1:18">
      <c r="A19" s="584" t="s">
        <v>4489</v>
      </c>
      <c r="B19" s="584" t="s">
        <v>4137</v>
      </c>
      <c r="C19" s="584" t="s">
        <v>4138</v>
      </c>
      <c r="D19" s="585" t="s">
        <v>4139</v>
      </c>
      <c r="E19" s="584" t="s">
        <v>2723</v>
      </c>
      <c r="F19" s="584" t="s">
        <v>4140</v>
      </c>
      <c r="G19" s="584" t="s">
        <v>4141</v>
      </c>
      <c r="H19" s="584" t="s">
        <v>4490</v>
      </c>
      <c r="I19" s="584"/>
      <c r="J19" s="584"/>
      <c r="K19" s="584" t="s">
        <v>4142</v>
      </c>
      <c r="L19" s="584"/>
      <c r="M19" s="584"/>
      <c r="N19" s="584" t="s">
        <v>4491</v>
      </c>
    </row>
    <row r="20" spans="1:18">
      <c r="A20" s="584"/>
      <c r="B20" s="584"/>
      <c r="C20" s="584"/>
      <c r="D20" s="585"/>
      <c r="E20" s="584"/>
      <c r="F20" s="584"/>
      <c r="G20" s="584"/>
      <c r="H20" s="487" t="s">
        <v>4492</v>
      </c>
      <c r="I20" s="487" t="s">
        <v>4493</v>
      </c>
      <c r="J20" s="487" t="s">
        <v>4142</v>
      </c>
      <c r="K20" s="487" t="s">
        <v>4492</v>
      </c>
      <c r="L20" s="487" t="s">
        <v>4493</v>
      </c>
      <c r="M20" s="487" t="s">
        <v>4142</v>
      </c>
      <c r="N20" s="584"/>
    </row>
    <row r="21" spans="1:18">
      <c r="A21" s="494" t="s">
        <v>4100</v>
      </c>
      <c r="B21" s="494"/>
      <c r="C21" s="494"/>
      <c r="D21" s="490" t="s">
        <v>9</v>
      </c>
      <c r="E21" s="494"/>
      <c r="F21" s="494"/>
      <c r="G21" s="494"/>
      <c r="H21" s="494"/>
      <c r="I21" s="494"/>
      <c r="J21" s="494"/>
      <c r="K21" s="494"/>
      <c r="L21" s="494"/>
      <c r="M21" s="495">
        <f>ROUND((SUM(M22:M55)),2)</f>
        <v>35097.56</v>
      </c>
      <c r="N21" s="496">
        <f>M21 / $L$274</f>
        <v>2.0550000268163945E-2</v>
      </c>
      <c r="O21" s="507"/>
      <c r="P21" s="529"/>
      <c r="Q21" s="529"/>
    </row>
    <row r="22" spans="1:18" ht="26.4">
      <c r="A22" s="488" t="s">
        <v>4495</v>
      </c>
      <c r="B22" s="488" t="s">
        <v>4496</v>
      </c>
      <c r="C22" s="488" t="s">
        <v>4475</v>
      </c>
      <c r="D22" s="491" t="s">
        <v>14</v>
      </c>
      <c r="E22" s="488" t="s">
        <v>3040</v>
      </c>
      <c r="F22" s="488">
        <v>1722.41</v>
      </c>
      <c r="G22" s="497">
        <v>2.7</v>
      </c>
      <c r="H22" s="497">
        <v>3.4</v>
      </c>
      <c r="I22" s="497">
        <v>0</v>
      </c>
      <c r="J22" s="497">
        <f t="shared" ref="J22:J55" si="0">ROUND(G22 * (1 + 25.92 / 100), 2)</f>
        <v>3.4</v>
      </c>
      <c r="K22" s="497">
        <f t="shared" ref="K22" si="1">ROUND(F22 * H22, 2)</f>
        <v>5856.19</v>
      </c>
      <c r="L22" s="497">
        <f>ROUND(F22 * I22, 2)</f>
        <v>0</v>
      </c>
      <c r="M22" s="497">
        <f>ROUND((K22+L22), 2)</f>
        <v>5856.19</v>
      </c>
      <c r="N22" s="509">
        <f t="shared" ref="N22:N85" si="2">M22 / $L$274</f>
        <v>3.4288624642402209E-3</v>
      </c>
      <c r="O22" s="528">
        <f>K22+L22</f>
        <v>5856.19</v>
      </c>
      <c r="P22" s="528" t="str">
        <f>IF(O22=M22,"OK","NÃO")</f>
        <v>OK</v>
      </c>
      <c r="Q22" s="528"/>
      <c r="R22">
        <f>ROUND((F22*G22),2)</f>
        <v>4650.51</v>
      </c>
    </row>
    <row r="23" spans="1:18" ht="26.4">
      <c r="A23" s="488" t="s">
        <v>4497</v>
      </c>
      <c r="B23" s="488" t="s">
        <v>4498</v>
      </c>
      <c r="C23" s="488" t="s">
        <v>4475</v>
      </c>
      <c r="D23" s="491" t="s">
        <v>15</v>
      </c>
      <c r="E23" s="488" t="s">
        <v>3040</v>
      </c>
      <c r="F23" s="488">
        <v>21.33</v>
      </c>
      <c r="G23" s="497">
        <v>13.99</v>
      </c>
      <c r="H23" s="497">
        <v>17.62</v>
      </c>
      <c r="I23" s="497">
        <v>0</v>
      </c>
      <c r="J23" s="497">
        <f t="shared" si="0"/>
        <v>17.62</v>
      </c>
      <c r="K23" s="497">
        <f t="shared" ref="K23:K55" si="3">ROUND(F23 * H23, 2)</f>
        <v>375.83</v>
      </c>
      <c r="L23" s="497">
        <f t="shared" ref="L23:L55" si="4">ROUND(F23 * I23, 2)</f>
        <v>0</v>
      </c>
      <c r="M23" s="497">
        <f t="shared" ref="M23:M86" si="5">ROUND((K23+L23), 2)</f>
        <v>375.83</v>
      </c>
      <c r="N23" s="509">
        <f t="shared" si="2"/>
        <v>2.2005252219197162E-4</v>
      </c>
      <c r="O23" s="528">
        <f t="shared" ref="O23:O34" si="6">K23+L23</f>
        <v>375.83</v>
      </c>
      <c r="P23" s="528" t="str">
        <f t="shared" ref="P23:P34" si="7">IF(O23=M23,"OK","NÃO")</f>
        <v>OK</v>
      </c>
      <c r="R23">
        <f t="shared" ref="R23:R86" si="8">ROUND((F23*G23),2)</f>
        <v>298.41000000000003</v>
      </c>
    </row>
    <row r="24" spans="1:18" ht="26.4">
      <c r="A24" s="488" t="s">
        <v>4499</v>
      </c>
      <c r="B24" s="488" t="s">
        <v>4500</v>
      </c>
      <c r="C24" s="488" t="s">
        <v>4475</v>
      </c>
      <c r="D24" s="491" t="s">
        <v>18</v>
      </c>
      <c r="E24" s="488" t="s">
        <v>3040</v>
      </c>
      <c r="F24" s="488">
        <v>78.39</v>
      </c>
      <c r="G24" s="497">
        <v>5.38</v>
      </c>
      <c r="H24" s="497">
        <v>6.77</v>
      </c>
      <c r="I24" s="497">
        <v>0</v>
      </c>
      <c r="J24" s="497">
        <f t="shared" si="0"/>
        <v>6.77</v>
      </c>
      <c r="K24" s="497">
        <f t="shared" si="3"/>
        <v>530.70000000000005</v>
      </c>
      <c r="L24" s="497">
        <f t="shared" si="4"/>
        <v>0</v>
      </c>
      <c r="M24" s="497">
        <f t="shared" si="5"/>
        <v>530.70000000000005</v>
      </c>
      <c r="N24" s="509">
        <f t="shared" si="2"/>
        <v>3.1073057905776376E-4</v>
      </c>
      <c r="O24" s="528">
        <f t="shared" si="6"/>
        <v>530.70000000000005</v>
      </c>
      <c r="P24" s="528" t="str">
        <f t="shared" si="7"/>
        <v>OK</v>
      </c>
      <c r="R24">
        <f t="shared" si="8"/>
        <v>421.74</v>
      </c>
    </row>
    <row r="25" spans="1:18" ht="26.4">
      <c r="A25" s="488" t="s">
        <v>4501</v>
      </c>
      <c r="B25" s="488" t="s">
        <v>4502</v>
      </c>
      <c r="C25" s="488" t="s">
        <v>4475</v>
      </c>
      <c r="D25" s="491" t="s">
        <v>28</v>
      </c>
      <c r="E25" s="488" t="s">
        <v>3040</v>
      </c>
      <c r="F25" s="488">
        <v>0.4</v>
      </c>
      <c r="G25" s="497">
        <v>4.38</v>
      </c>
      <c r="H25" s="497">
        <f>ROUND((G25*1.2592),2)</f>
        <v>5.52</v>
      </c>
      <c r="I25" s="497">
        <v>0</v>
      </c>
      <c r="J25" s="497">
        <f t="shared" si="0"/>
        <v>5.52</v>
      </c>
      <c r="K25" s="497">
        <f t="shared" si="3"/>
        <v>2.21</v>
      </c>
      <c r="L25" s="497">
        <f t="shared" si="4"/>
        <v>0</v>
      </c>
      <c r="M25" s="497">
        <f t="shared" si="5"/>
        <v>2.21</v>
      </c>
      <c r="N25" s="509">
        <f t="shared" si="2"/>
        <v>1.2939788575799091E-6</v>
      </c>
      <c r="O25" s="528">
        <f t="shared" si="6"/>
        <v>2.21</v>
      </c>
      <c r="P25" s="528" t="str">
        <f t="shared" si="7"/>
        <v>OK</v>
      </c>
      <c r="R25">
        <f t="shared" si="8"/>
        <v>1.75</v>
      </c>
    </row>
    <row r="26" spans="1:18" ht="26.4">
      <c r="A26" s="488" t="s">
        <v>4503</v>
      </c>
      <c r="B26" s="488" t="s">
        <v>4504</v>
      </c>
      <c r="C26" s="488" t="s">
        <v>4475</v>
      </c>
      <c r="D26" s="491" t="s">
        <v>29</v>
      </c>
      <c r="E26" s="488" t="s">
        <v>2894</v>
      </c>
      <c r="F26" s="488">
        <v>32.270000000000003</v>
      </c>
      <c r="G26" s="497">
        <v>33.65</v>
      </c>
      <c r="H26" s="497">
        <v>42.37</v>
      </c>
      <c r="I26" s="497">
        <v>0</v>
      </c>
      <c r="J26" s="497">
        <f t="shared" si="0"/>
        <v>42.37</v>
      </c>
      <c r="K26" s="497">
        <f t="shared" si="3"/>
        <v>1367.28</v>
      </c>
      <c r="L26" s="497">
        <f t="shared" si="4"/>
        <v>0</v>
      </c>
      <c r="M26" s="497">
        <f t="shared" si="5"/>
        <v>1367.28</v>
      </c>
      <c r="N26" s="509">
        <f t="shared" si="2"/>
        <v>8.0055720017731139E-4</v>
      </c>
      <c r="O26" s="528">
        <f t="shared" si="6"/>
        <v>1367.28</v>
      </c>
      <c r="P26" s="528" t="str">
        <f t="shared" si="7"/>
        <v>OK</v>
      </c>
      <c r="R26">
        <f t="shared" si="8"/>
        <v>1085.8900000000001</v>
      </c>
    </row>
    <row r="27" spans="1:18" ht="26.4">
      <c r="A27" s="488" t="s">
        <v>4505</v>
      </c>
      <c r="B27" s="488" t="s">
        <v>4506</v>
      </c>
      <c r="C27" s="488" t="s">
        <v>4475</v>
      </c>
      <c r="D27" s="491" t="s">
        <v>32</v>
      </c>
      <c r="E27" s="488" t="s">
        <v>2894</v>
      </c>
      <c r="F27" s="488">
        <v>4.37</v>
      </c>
      <c r="G27" s="497">
        <v>139.94999999999999</v>
      </c>
      <c r="H27" s="497">
        <v>176.23</v>
      </c>
      <c r="I27" s="497">
        <v>0</v>
      </c>
      <c r="J27" s="497">
        <f t="shared" si="0"/>
        <v>176.23</v>
      </c>
      <c r="K27" s="497">
        <f t="shared" si="3"/>
        <v>770.13</v>
      </c>
      <c r="L27" s="497">
        <f t="shared" si="4"/>
        <v>0</v>
      </c>
      <c r="M27" s="497">
        <f t="shared" si="5"/>
        <v>770.13</v>
      </c>
      <c r="N27" s="509">
        <f t="shared" si="2"/>
        <v>4.509194287728577E-4</v>
      </c>
      <c r="O27" s="528">
        <f t="shared" si="6"/>
        <v>770.13</v>
      </c>
      <c r="P27" s="528" t="str">
        <f t="shared" si="7"/>
        <v>OK</v>
      </c>
      <c r="R27">
        <f t="shared" si="8"/>
        <v>611.58000000000004</v>
      </c>
    </row>
    <row r="28" spans="1:18" ht="26.4">
      <c r="A28" s="488" t="s">
        <v>4507</v>
      </c>
      <c r="B28" s="488" t="s">
        <v>4508</v>
      </c>
      <c r="C28" s="488" t="s">
        <v>4475</v>
      </c>
      <c r="D28" s="491" t="s">
        <v>33</v>
      </c>
      <c r="E28" s="488" t="s">
        <v>2894</v>
      </c>
      <c r="F28" s="488">
        <v>3.85</v>
      </c>
      <c r="G28" s="497">
        <v>180.5</v>
      </c>
      <c r="H28" s="497">
        <v>227.29</v>
      </c>
      <c r="I28" s="497">
        <v>0</v>
      </c>
      <c r="J28" s="497">
        <f t="shared" si="0"/>
        <v>227.29</v>
      </c>
      <c r="K28" s="497">
        <f t="shared" si="3"/>
        <v>875.07</v>
      </c>
      <c r="L28" s="497">
        <f t="shared" si="4"/>
        <v>0</v>
      </c>
      <c r="M28" s="497">
        <f t="shared" si="5"/>
        <v>875.07</v>
      </c>
      <c r="N28" s="509">
        <f t="shared" si="2"/>
        <v>5.1236293163006838E-4</v>
      </c>
      <c r="O28" s="528">
        <f t="shared" si="6"/>
        <v>875.07</v>
      </c>
      <c r="P28" s="528" t="str">
        <f t="shared" si="7"/>
        <v>OK</v>
      </c>
      <c r="R28">
        <f t="shared" si="8"/>
        <v>694.93</v>
      </c>
    </row>
    <row r="29" spans="1:18" ht="26.4">
      <c r="A29" s="488" t="s">
        <v>4509</v>
      </c>
      <c r="B29" s="488" t="s">
        <v>4510</v>
      </c>
      <c r="C29" s="488" t="s">
        <v>4475</v>
      </c>
      <c r="D29" s="491" t="s">
        <v>37</v>
      </c>
      <c r="E29" s="488" t="s">
        <v>2894</v>
      </c>
      <c r="F29" s="488">
        <v>0.64</v>
      </c>
      <c r="G29" s="497">
        <v>269.14</v>
      </c>
      <c r="H29" s="497">
        <v>338.9</v>
      </c>
      <c r="I29" s="497">
        <v>0</v>
      </c>
      <c r="J29" s="497">
        <f t="shared" si="0"/>
        <v>338.9</v>
      </c>
      <c r="K29" s="497">
        <f t="shared" si="3"/>
        <v>216.9</v>
      </c>
      <c r="L29" s="497">
        <f t="shared" si="4"/>
        <v>0</v>
      </c>
      <c r="M29" s="497">
        <f t="shared" si="5"/>
        <v>216.9</v>
      </c>
      <c r="N29" s="509">
        <f t="shared" si="2"/>
        <v>1.2699729149732232E-4</v>
      </c>
      <c r="O29" s="528">
        <f t="shared" si="6"/>
        <v>216.9</v>
      </c>
      <c r="P29" s="528" t="str">
        <f t="shared" si="7"/>
        <v>OK</v>
      </c>
      <c r="R29">
        <f t="shared" si="8"/>
        <v>172.25</v>
      </c>
    </row>
    <row r="30" spans="1:18" ht="26.4">
      <c r="A30" s="488" t="s">
        <v>4511</v>
      </c>
      <c r="B30" s="488" t="s">
        <v>4512</v>
      </c>
      <c r="C30" s="488" t="s">
        <v>4475</v>
      </c>
      <c r="D30" s="491" t="s">
        <v>48</v>
      </c>
      <c r="E30" s="488" t="s">
        <v>3040</v>
      </c>
      <c r="F30" s="488">
        <v>12.81</v>
      </c>
      <c r="G30" s="497">
        <v>3.36</v>
      </c>
      <c r="H30" s="497">
        <v>4.2300000000000004</v>
      </c>
      <c r="I30" s="497">
        <v>0</v>
      </c>
      <c r="J30" s="497">
        <f t="shared" si="0"/>
        <v>4.2300000000000004</v>
      </c>
      <c r="K30" s="497">
        <f t="shared" si="3"/>
        <v>54.19</v>
      </c>
      <c r="L30" s="497">
        <f t="shared" si="4"/>
        <v>0</v>
      </c>
      <c r="M30" s="497">
        <f t="shared" si="5"/>
        <v>54.19</v>
      </c>
      <c r="N30" s="509">
        <f t="shared" si="2"/>
        <v>3.1728829996495603E-5</v>
      </c>
      <c r="O30" s="528">
        <f t="shared" si="6"/>
        <v>54.19</v>
      </c>
      <c r="P30" s="528" t="str">
        <f t="shared" si="7"/>
        <v>OK</v>
      </c>
      <c r="R30">
        <f t="shared" si="8"/>
        <v>43.04</v>
      </c>
    </row>
    <row r="31" spans="1:18" ht="39.6">
      <c r="A31" s="488" t="s">
        <v>4513</v>
      </c>
      <c r="B31" s="488" t="s">
        <v>4514</v>
      </c>
      <c r="C31" s="488" t="s">
        <v>4475</v>
      </c>
      <c r="D31" s="491" t="s">
        <v>4515</v>
      </c>
      <c r="E31" s="488" t="s">
        <v>2489</v>
      </c>
      <c r="F31" s="488">
        <v>140</v>
      </c>
      <c r="G31" s="497">
        <v>3.96</v>
      </c>
      <c r="H31" s="497">
        <v>4.99</v>
      </c>
      <c r="I31" s="497">
        <v>0</v>
      </c>
      <c r="J31" s="497">
        <f t="shared" si="0"/>
        <v>4.99</v>
      </c>
      <c r="K31" s="497">
        <f t="shared" si="3"/>
        <v>698.6</v>
      </c>
      <c r="L31" s="497">
        <f t="shared" si="4"/>
        <v>0</v>
      </c>
      <c r="M31" s="497">
        <f t="shared" si="5"/>
        <v>698.6</v>
      </c>
      <c r="N31" s="509">
        <f t="shared" si="2"/>
        <v>4.0903784158611976E-4</v>
      </c>
      <c r="O31" s="528">
        <f t="shared" si="6"/>
        <v>698.6</v>
      </c>
      <c r="P31" s="528" t="str">
        <f t="shared" si="7"/>
        <v>OK</v>
      </c>
      <c r="R31">
        <f t="shared" si="8"/>
        <v>554.4</v>
      </c>
    </row>
    <row r="32" spans="1:18" ht="26.4">
      <c r="A32" s="488" t="s">
        <v>4516</v>
      </c>
      <c r="B32" s="488" t="s">
        <v>4517</v>
      </c>
      <c r="C32" s="488" t="s">
        <v>4475</v>
      </c>
      <c r="D32" s="491" t="s">
        <v>55</v>
      </c>
      <c r="E32" s="488" t="s">
        <v>3040</v>
      </c>
      <c r="F32" s="488">
        <v>1573.86</v>
      </c>
      <c r="G32" s="497">
        <v>3.9</v>
      </c>
      <c r="H32" s="497">
        <v>4.91</v>
      </c>
      <c r="I32" s="497">
        <v>0</v>
      </c>
      <c r="J32" s="497">
        <f t="shared" si="0"/>
        <v>4.91</v>
      </c>
      <c r="K32" s="497">
        <f t="shared" si="3"/>
        <v>7727.65</v>
      </c>
      <c r="L32" s="497">
        <f t="shared" si="4"/>
        <v>0</v>
      </c>
      <c r="M32" s="497">
        <f t="shared" si="5"/>
        <v>7727.65</v>
      </c>
      <c r="N32" s="509">
        <f t="shared" si="2"/>
        <v>4.5246224971843369E-3</v>
      </c>
      <c r="O32" s="528">
        <f t="shared" si="6"/>
        <v>7727.65</v>
      </c>
      <c r="P32" s="528" t="str">
        <f t="shared" si="7"/>
        <v>OK</v>
      </c>
      <c r="R32">
        <f t="shared" si="8"/>
        <v>6138.05</v>
      </c>
    </row>
    <row r="33" spans="1:18" ht="26.4">
      <c r="A33" s="488" t="s">
        <v>4518</v>
      </c>
      <c r="B33" s="488" t="s">
        <v>4519</v>
      </c>
      <c r="C33" s="488" t="s">
        <v>4475</v>
      </c>
      <c r="D33" s="491" t="s">
        <v>60</v>
      </c>
      <c r="E33" s="488" t="s">
        <v>3040</v>
      </c>
      <c r="F33" s="488">
        <v>252.22</v>
      </c>
      <c r="G33" s="497">
        <v>4.05</v>
      </c>
      <c r="H33" s="497">
        <v>5.0999999999999996</v>
      </c>
      <c r="I33" s="497">
        <v>0</v>
      </c>
      <c r="J33" s="497">
        <f t="shared" si="0"/>
        <v>5.0999999999999996</v>
      </c>
      <c r="K33" s="497">
        <f t="shared" si="3"/>
        <v>1286.32</v>
      </c>
      <c r="L33" s="497">
        <f t="shared" si="4"/>
        <v>0</v>
      </c>
      <c r="M33" s="497">
        <f t="shared" si="5"/>
        <v>1286.32</v>
      </c>
      <c r="N33" s="509">
        <f t="shared" si="2"/>
        <v>7.5315424619103568E-4</v>
      </c>
      <c r="O33" s="528">
        <f t="shared" si="6"/>
        <v>1286.32</v>
      </c>
      <c r="P33" s="528" t="str">
        <f t="shared" si="7"/>
        <v>OK</v>
      </c>
      <c r="R33">
        <f t="shared" si="8"/>
        <v>1021.49</v>
      </c>
    </row>
    <row r="34" spans="1:18" ht="39.6">
      <c r="A34" s="488" t="s">
        <v>4520</v>
      </c>
      <c r="B34" s="488" t="s">
        <v>4521</v>
      </c>
      <c r="C34" s="488" t="s">
        <v>4475</v>
      </c>
      <c r="D34" s="491" t="s">
        <v>62</v>
      </c>
      <c r="E34" s="488" t="s">
        <v>2114</v>
      </c>
      <c r="F34" s="488">
        <v>2</v>
      </c>
      <c r="G34" s="497">
        <v>0.5</v>
      </c>
      <c r="H34" s="497">
        <v>0.63</v>
      </c>
      <c r="I34" s="497">
        <v>0</v>
      </c>
      <c r="J34" s="497">
        <f t="shared" si="0"/>
        <v>0.63</v>
      </c>
      <c r="K34" s="497">
        <f t="shared" si="3"/>
        <v>1.26</v>
      </c>
      <c r="L34" s="497">
        <f t="shared" si="4"/>
        <v>0</v>
      </c>
      <c r="M34" s="497">
        <f t="shared" si="5"/>
        <v>1.26</v>
      </c>
      <c r="N34" s="509">
        <f t="shared" si="2"/>
        <v>7.3774360205913373E-7</v>
      </c>
      <c r="O34" s="528">
        <f t="shared" si="6"/>
        <v>1.26</v>
      </c>
      <c r="P34" s="528" t="str">
        <f t="shared" si="7"/>
        <v>OK</v>
      </c>
      <c r="R34">
        <f t="shared" si="8"/>
        <v>1</v>
      </c>
    </row>
    <row r="35" spans="1:18" ht="26.4">
      <c r="A35" s="488" t="s">
        <v>4522</v>
      </c>
      <c r="B35" s="488" t="s">
        <v>4523</v>
      </c>
      <c r="C35" s="488" t="s">
        <v>4475</v>
      </c>
      <c r="D35" s="491" t="s">
        <v>63</v>
      </c>
      <c r="E35" s="488" t="s">
        <v>2114</v>
      </c>
      <c r="F35" s="488">
        <v>149.54</v>
      </c>
      <c r="G35" s="497">
        <v>0.36</v>
      </c>
      <c r="H35" s="497">
        <v>0.45</v>
      </c>
      <c r="I35" s="497">
        <v>0</v>
      </c>
      <c r="J35" s="497">
        <f t="shared" si="0"/>
        <v>0.45</v>
      </c>
      <c r="K35" s="497">
        <f t="shared" si="3"/>
        <v>67.290000000000006</v>
      </c>
      <c r="L35" s="497">
        <f t="shared" si="4"/>
        <v>0</v>
      </c>
      <c r="M35" s="497">
        <f t="shared" si="5"/>
        <v>67.290000000000006</v>
      </c>
      <c r="N35" s="509">
        <f t="shared" si="2"/>
        <v>3.939902141472946E-5</v>
      </c>
      <c r="O35" s="528">
        <f t="shared" ref="O35:O55" si="9">K35+L35</f>
        <v>67.290000000000006</v>
      </c>
      <c r="P35" s="528" t="str">
        <f t="shared" ref="P35:P55" si="10">IF(O35=M35,"OK","NÃO")</f>
        <v>OK</v>
      </c>
      <c r="R35">
        <f t="shared" si="8"/>
        <v>53.83</v>
      </c>
    </row>
    <row r="36" spans="1:18" ht="39.6">
      <c r="A36" s="488" t="s">
        <v>4524</v>
      </c>
      <c r="B36" s="488" t="s">
        <v>4525</v>
      </c>
      <c r="C36" s="488" t="s">
        <v>4475</v>
      </c>
      <c r="D36" s="491" t="s">
        <v>64</v>
      </c>
      <c r="E36" s="488" t="s">
        <v>2114</v>
      </c>
      <c r="F36" s="488">
        <v>104.19</v>
      </c>
      <c r="G36" s="497">
        <v>0.5</v>
      </c>
      <c r="H36" s="497">
        <v>0.63</v>
      </c>
      <c r="I36" s="497">
        <v>0</v>
      </c>
      <c r="J36" s="497">
        <f t="shared" si="0"/>
        <v>0.63</v>
      </c>
      <c r="K36" s="497">
        <f t="shared" si="3"/>
        <v>65.64</v>
      </c>
      <c r="L36" s="497">
        <f t="shared" si="4"/>
        <v>0</v>
      </c>
      <c r="M36" s="497">
        <f t="shared" si="5"/>
        <v>65.64</v>
      </c>
      <c r="N36" s="509">
        <f t="shared" si="2"/>
        <v>3.8432928602509158E-5</v>
      </c>
      <c r="O36" s="528">
        <f t="shared" si="9"/>
        <v>65.64</v>
      </c>
      <c r="P36" s="528" t="str">
        <f t="shared" si="10"/>
        <v>OK</v>
      </c>
      <c r="R36">
        <f t="shared" si="8"/>
        <v>52.1</v>
      </c>
    </row>
    <row r="37" spans="1:18" ht="26.4">
      <c r="A37" s="488" t="s">
        <v>4526</v>
      </c>
      <c r="B37" s="488" t="s">
        <v>4527</v>
      </c>
      <c r="C37" s="488" t="s">
        <v>4475</v>
      </c>
      <c r="D37" s="491" t="s">
        <v>4528</v>
      </c>
      <c r="E37" s="488" t="s">
        <v>2488</v>
      </c>
      <c r="F37" s="488">
        <v>237</v>
      </c>
      <c r="G37" s="497">
        <v>1.06</v>
      </c>
      <c r="H37" s="497">
        <v>1.33</v>
      </c>
      <c r="I37" s="497">
        <v>0</v>
      </c>
      <c r="J37" s="497">
        <f t="shared" si="0"/>
        <v>1.33</v>
      </c>
      <c r="K37" s="497">
        <f t="shared" si="3"/>
        <v>315.20999999999998</v>
      </c>
      <c r="L37" s="497">
        <f t="shared" si="4"/>
        <v>0</v>
      </c>
      <c r="M37" s="497">
        <f t="shared" si="5"/>
        <v>315.20999999999998</v>
      </c>
      <c r="N37" s="509">
        <f t="shared" si="2"/>
        <v>1.8455885778179327E-4</v>
      </c>
      <c r="O37" s="528">
        <f t="shared" si="9"/>
        <v>315.20999999999998</v>
      </c>
      <c r="P37" s="528" t="str">
        <f t="shared" si="10"/>
        <v>OK</v>
      </c>
      <c r="R37">
        <f t="shared" si="8"/>
        <v>251.22</v>
      </c>
    </row>
    <row r="38" spans="1:18" ht="26.4">
      <c r="A38" s="488" t="s">
        <v>4529</v>
      </c>
      <c r="B38" s="488" t="s">
        <v>4530</v>
      </c>
      <c r="C38" s="488" t="s">
        <v>4475</v>
      </c>
      <c r="D38" s="491" t="s">
        <v>4531</v>
      </c>
      <c r="E38" s="488" t="s">
        <v>2488</v>
      </c>
      <c r="F38" s="488">
        <v>71</v>
      </c>
      <c r="G38" s="497">
        <v>0.83</v>
      </c>
      <c r="H38" s="497">
        <f>ROUND((0.83*1.2592),2)</f>
        <v>1.05</v>
      </c>
      <c r="I38" s="497"/>
      <c r="J38" s="497">
        <f t="shared" si="0"/>
        <v>1.05</v>
      </c>
      <c r="K38" s="497">
        <f t="shared" si="3"/>
        <v>74.55</v>
      </c>
      <c r="L38" s="497">
        <f t="shared" si="4"/>
        <v>0</v>
      </c>
      <c r="M38" s="497">
        <f t="shared" si="5"/>
        <v>74.55</v>
      </c>
      <c r="N38" s="509">
        <f t="shared" si="2"/>
        <v>4.3649829788498745E-5</v>
      </c>
      <c r="O38" s="528">
        <f t="shared" si="9"/>
        <v>74.55</v>
      </c>
      <c r="P38" s="528" t="str">
        <f t="shared" si="10"/>
        <v>OK</v>
      </c>
      <c r="R38">
        <f t="shared" si="8"/>
        <v>58.93</v>
      </c>
    </row>
    <row r="39" spans="1:18" ht="26.4">
      <c r="A39" s="488" t="s">
        <v>4532</v>
      </c>
      <c r="B39" s="488" t="s">
        <v>4533</v>
      </c>
      <c r="C39" s="488" t="s">
        <v>4475</v>
      </c>
      <c r="D39" s="491" t="s">
        <v>68</v>
      </c>
      <c r="E39" s="488" t="s">
        <v>3040</v>
      </c>
      <c r="F39" s="488">
        <v>226.8</v>
      </c>
      <c r="G39" s="497">
        <v>7.24</v>
      </c>
      <c r="H39" s="497">
        <v>0</v>
      </c>
      <c r="I39" s="497">
        <v>9.1199999999999992</v>
      </c>
      <c r="J39" s="497">
        <f t="shared" si="0"/>
        <v>9.1199999999999992</v>
      </c>
      <c r="K39" s="497">
        <f t="shared" si="3"/>
        <v>0</v>
      </c>
      <c r="L39" s="497">
        <f t="shared" si="4"/>
        <v>2068.42</v>
      </c>
      <c r="M39" s="497">
        <f t="shared" si="5"/>
        <v>2068.42</v>
      </c>
      <c r="N39" s="509">
        <f t="shared" si="2"/>
        <v>1.2110822391834552E-3</v>
      </c>
      <c r="O39" s="528">
        <f t="shared" si="9"/>
        <v>2068.42</v>
      </c>
      <c r="P39" s="528" t="str">
        <f t="shared" si="10"/>
        <v>OK</v>
      </c>
      <c r="R39">
        <f t="shared" si="8"/>
        <v>1642.03</v>
      </c>
    </row>
    <row r="40" spans="1:18">
      <c r="A40" s="488" t="s">
        <v>4534</v>
      </c>
      <c r="B40" s="488" t="s">
        <v>4535</v>
      </c>
      <c r="C40" s="488" t="s">
        <v>4475</v>
      </c>
      <c r="D40" s="491" t="s">
        <v>70</v>
      </c>
      <c r="E40" s="488" t="s">
        <v>3040</v>
      </c>
      <c r="F40" s="488">
        <v>129.9</v>
      </c>
      <c r="G40" s="497">
        <v>2.31</v>
      </c>
      <c r="H40" s="497">
        <v>2.91</v>
      </c>
      <c r="I40" s="497">
        <v>0</v>
      </c>
      <c r="J40" s="497">
        <f t="shared" si="0"/>
        <v>2.91</v>
      </c>
      <c r="K40" s="497">
        <f t="shared" si="3"/>
        <v>378.01</v>
      </c>
      <c r="L40" s="497">
        <f t="shared" si="4"/>
        <v>0</v>
      </c>
      <c r="M40" s="497">
        <f t="shared" si="5"/>
        <v>378.01</v>
      </c>
      <c r="N40" s="509">
        <f t="shared" si="2"/>
        <v>2.2132893572569297E-4</v>
      </c>
      <c r="O40" s="528">
        <f t="shared" si="9"/>
        <v>378.01</v>
      </c>
      <c r="P40" s="528" t="str">
        <f t="shared" si="10"/>
        <v>OK</v>
      </c>
      <c r="R40">
        <f t="shared" si="8"/>
        <v>300.07</v>
      </c>
    </row>
    <row r="41" spans="1:18" ht="39.6">
      <c r="A41" s="488" t="s">
        <v>4536</v>
      </c>
      <c r="B41" s="488" t="s">
        <v>4537</v>
      </c>
      <c r="C41" s="488" t="s">
        <v>4475</v>
      </c>
      <c r="D41" s="491" t="s">
        <v>88</v>
      </c>
      <c r="E41" s="488" t="s">
        <v>3040</v>
      </c>
      <c r="F41" s="488">
        <v>3</v>
      </c>
      <c r="G41" s="497">
        <v>413.34</v>
      </c>
      <c r="H41" s="497">
        <v>3.37</v>
      </c>
      <c r="I41" s="497">
        <v>517.11</v>
      </c>
      <c r="J41" s="497">
        <f t="shared" si="0"/>
        <v>520.48</v>
      </c>
      <c r="K41" s="497">
        <f t="shared" si="3"/>
        <v>10.11</v>
      </c>
      <c r="L41" s="497">
        <f t="shared" si="4"/>
        <v>1551.33</v>
      </c>
      <c r="M41" s="497">
        <f t="shared" si="5"/>
        <v>1561.44</v>
      </c>
      <c r="N41" s="509">
        <f t="shared" si="2"/>
        <v>9.1423997618985222E-4</v>
      </c>
      <c r="O41" s="528">
        <f t="shared" si="9"/>
        <v>1561.4399999999998</v>
      </c>
      <c r="P41" s="528" t="str">
        <f t="shared" si="10"/>
        <v>OK</v>
      </c>
      <c r="R41">
        <f t="shared" si="8"/>
        <v>1240.02</v>
      </c>
    </row>
    <row r="42" spans="1:18" ht="26.4">
      <c r="A42" s="488" t="s">
        <v>4538</v>
      </c>
      <c r="B42" s="488" t="s">
        <v>4539</v>
      </c>
      <c r="C42" s="488" t="s">
        <v>4475</v>
      </c>
      <c r="D42" s="491" t="s">
        <v>93</v>
      </c>
      <c r="E42" s="488" t="s">
        <v>3040</v>
      </c>
      <c r="F42" s="488">
        <v>56.7</v>
      </c>
      <c r="G42" s="497">
        <v>47.3</v>
      </c>
      <c r="H42" s="497">
        <v>0</v>
      </c>
      <c r="I42" s="497">
        <v>59.56</v>
      </c>
      <c r="J42" s="497">
        <f t="shared" si="0"/>
        <v>59.56</v>
      </c>
      <c r="K42" s="497">
        <f t="shared" si="3"/>
        <v>0</v>
      </c>
      <c r="L42" s="497">
        <f t="shared" si="4"/>
        <v>3377.05</v>
      </c>
      <c r="M42" s="497">
        <f t="shared" si="5"/>
        <v>3377.05</v>
      </c>
      <c r="N42" s="509">
        <f t="shared" si="2"/>
        <v>1.9772992312172997E-3</v>
      </c>
      <c r="O42" s="528">
        <f t="shared" si="9"/>
        <v>3377.05</v>
      </c>
      <c r="P42" s="528" t="str">
        <f t="shared" si="10"/>
        <v>OK</v>
      </c>
      <c r="R42">
        <f t="shared" si="8"/>
        <v>2681.91</v>
      </c>
    </row>
    <row r="43" spans="1:18">
      <c r="A43" s="488" t="s">
        <v>4136</v>
      </c>
      <c r="B43" s="488" t="s">
        <v>4841</v>
      </c>
      <c r="C43" s="488" t="s">
        <v>4144</v>
      </c>
      <c r="D43" s="491" t="s">
        <v>2817</v>
      </c>
      <c r="E43" s="488" t="s">
        <v>3040</v>
      </c>
      <c r="F43" s="488">
        <v>106.08</v>
      </c>
      <c r="G43" s="497">
        <v>17.23</v>
      </c>
      <c r="H43" s="497">
        <v>21.7</v>
      </c>
      <c r="I43" s="497">
        <v>0</v>
      </c>
      <c r="J43" s="497">
        <f t="shared" si="0"/>
        <v>21.7</v>
      </c>
      <c r="K43" s="497">
        <f t="shared" si="3"/>
        <v>2301.94</v>
      </c>
      <c r="L43" s="497">
        <f t="shared" si="4"/>
        <v>0</v>
      </c>
      <c r="M43" s="497">
        <f t="shared" si="5"/>
        <v>2301.94</v>
      </c>
      <c r="N43" s="509">
        <f t="shared" si="2"/>
        <v>1.3478107200984146E-3</v>
      </c>
      <c r="O43" s="528">
        <f t="shared" si="9"/>
        <v>2301.94</v>
      </c>
      <c r="P43" s="528" t="str">
        <f t="shared" si="10"/>
        <v>OK</v>
      </c>
      <c r="R43">
        <f t="shared" si="8"/>
        <v>1827.76</v>
      </c>
    </row>
    <row r="44" spans="1:18" ht="26.4">
      <c r="A44" s="488" t="s">
        <v>4152</v>
      </c>
      <c r="B44" s="488" t="s">
        <v>4842</v>
      </c>
      <c r="C44" s="488" t="s">
        <v>4144</v>
      </c>
      <c r="D44" s="491" t="s">
        <v>4153</v>
      </c>
      <c r="E44" s="488" t="s">
        <v>2489</v>
      </c>
      <c r="F44" s="488">
        <v>8</v>
      </c>
      <c r="G44" s="497">
        <v>81.03</v>
      </c>
      <c r="H44" s="497">
        <v>102.01</v>
      </c>
      <c r="I44" s="497">
        <v>0.02</v>
      </c>
      <c r="J44" s="497">
        <f t="shared" si="0"/>
        <v>102.03</v>
      </c>
      <c r="K44" s="497">
        <f t="shared" si="3"/>
        <v>816.08</v>
      </c>
      <c r="L44" s="497">
        <f t="shared" si="4"/>
        <v>0.16</v>
      </c>
      <c r="M44" s="497">
        <f t="shared" si="5"/>
        <v>816.24</v>
      </c>
      <c r="N44" s="509">
        <f t="shared" si="2"/>
        <v>4.7791733154345026E-4</v>
      </c>
      <c r="O44" s="528">
        <f t="shared" si="9"/>
        <v>816.24</v>
      </c>
      <c r="P44" s="528" t="str">
        <f t="shared" si="10"/>
        <v>OK</v>
      </c>
      <c r="R44">
        <f t="shared" si="8"/>
        <v>648.24</v>
      </c>
    </row>
    <row r="45" spans="1:18" ht="26.4">
      <c r="A45" s="488" t="s">
        <v>4540</v>
      </c>
      <c r="B45" s="488" t="s">
        <v>4541</v>
      </c>
      <c r="C45" s="488" t="s">
        <v>4155</v>
      </c>
      <c r="D45" s="491" t="s">
        <v>2649</v>
      </c>
      <c r="E45" s="488" t="s">
        <v>2477</v>
      </c>
      <c r="F45" s="488">
        <v>19</v>
      </c>
      <c r="G45" s="497">
        <v>1.25</v>
      </c>
      <c r="H45" s="497">
        <f>ROUND((0.93*1.2592),2)</f>
        <v>1.17</v>
      </c>
      <c r="I45" s="497">
        <f>ROUND((0.32*1.2592),2)</f>
        <v>0.4</v>
      </c>
      <c r="J45" s="497">
        <f t="shared" si="0"/>
        <v>1.57</v>
      </c>
      <c r="K45" s="497">
        <f t="shared" si="3"/>
        <v>22.23</v>
      </c>
      <c r="L45" s="497">
        <f t="shared" si="4"/>
        <v>7.6</v>
      </c>
      <c r="M45" s="497">
        <f t="shared" si="5"/>
        <v>29.83</v>
      </c>
      <c r="N45" s="509">
        <f t="shared" si="2"/>
        <v>1.7465787023352349E-5</v>
      </c>
      <c r="O45" s="528">
        <f t="shared" si="9"/>
        <v>29.83</v>
      </c>
      <c r="P45" s="528" t="str">
        <f t="shared" si="10"/>
        <v>OK</v>
      </c>
      <c r="R45">
        <f t="shared" si="8"/>
        <v>23.75</v>
      </c>
    </row>
    <row r="46" spans="1:18">
      <c r="A46" s="488" t="s">
        <v>4161</v>
      </c>
      <c r="B46" s="488" t="s">
        <v>4843</v>
      </c>
      <c r="C46" s="488" t="s">
        <v>4144</v>
      </c>
      <c r="D46" s="491" t="s">
        <v>4162</v>
      </c>
      <c r="E46" s="488" t="s">
        <v>4163</v>
      </c>
      <c r="F46" s="488">
        <v>1636.42</v>
      </c>
      <c r="G46" s="497">
        <v>1.36</v>
      </c>
      <c r="H46" s="497">
        <v>1.71</v>
      </c>
      <c r="I46" s="497">
        <v>0</v>
      </c>
      <c r="J46" s="497">
        <f t="shared" si="0"/>
        <v>1.71</v>
      </c>
      <c r="K46" s="497">
        <f t="shared" si="3"/>
        <v>2798.28</v>
      </c>
      <c r="L46" s="497">
        <f t="shared" si="4"/>
        <v>0</v>
      </c>
      <c r="M46" s="497">
        <f t="shared" si="5"/>
        <v>2798.28</v>
      </c>
      <c r="N46" s="509">
        <f t="shared" si="2"/>
        <v>1.6384231482301848E-3</v>
      </c>
      <c r="O46" s="528">
        <f t="shared" si="9"/>
        <v>2798.28</v>
      </c>
      <c r="P46" s="528" t="str">
        <f t="shared" si="10"/>
        <v>OK</v>
      </c>
      <c r="R46">
        <f t="shared" si="8"/>
        <v>2225.5300000000002</v>
      </c>
    </row>
    <row r="47" spans="1:18">
      <c r="A47" s="488" t="s">
        <v>4167</v>
      </c>
      <c r="B47" s="488" t="s">
        <v>4844</v>
      </c>
      <c r="C47" s="488" t="s">
        <v>4144</v>
      </c>
      <c r="D47" s="491" t="s">
        <v>4168</v>
      </c>
      <c r="E47" s="488" t="s">
        <v>2487</v>
      </c>
      <c r="F47" s="488">
        <v>5</v>
      </c>
      <c r="G47" s="497">
        <v>4.6100000000000003</v>
      </c>
      <c r="H47" s="497">
        <v>5.8</v>
      </c>
      <c r="I47" s="497">
        <v>0</v>
      </c>
      <c r="J47" s="497">
        <f t="shared" si="0"/>
        <v>5.8</v>
      </c>
      <c r="K47" s="497">
        <f t="shared" si="3"/>
        <v>29</v>
      </c>
      <c r="L47" s="497">
        <f t="shared" si="4"/>
        <v>0</v>
      </c>
      <c r="M47" s="497">
        <f t="shared" si="5"/>
        <v>29</v>
      </c>
      <c r="N47" s="509">
        <f t="shared" si="2"/>
        <v>1.6979813063265777E-5</v>
      </c>
      <c r="O47" s="528">
        <f t="shared" si="9"/>
        <v>29</v>
      </c>
      <c r="P47" s="528" t="str">
        <f t="shared" si="10"/>
        <v>OK</v>
      </c>
      <c r="R47">
        <f t="shared" si="8"/>
        <v>23.05</v>
      </c>
    </row>
    <row r="48" spans="1:18">
      <c r="A48" s="488" t="s">
        <v>4170</v>
      </c>
      <c r="B48" s="488" t="s">
        <v>4845</v>
      </c>
      <c r="C48" s="488" t="s">
        <v>4144</v>
      </c>
      <c r="D48" s="491" t="s">
        <v>4171</v>
      </c>
      <c r="E48" s="488" t="s">
        <v>2487</v>
      </c>
      <c r="F48" s="488">
        <v>121.35</v>
      </c>
      <c r="G48" s="497">
        <v>5.07</v>
      </c>
      <c r="H48" s="497">
        <v>6.38</v>
      </c>
      <c r="I48" s="497">
        <v>0</v>
      </c>
      <c r="J48" s="497">
        <f t="shared" si="0"/>
        <v>6.38</v>
      </c>
      <c r="K48" s="497">
        <f t="shared" si="3"/>
        <v>774.21</v>
      </c>
      <c r="L48" s="497">
        <f t="shared" si="4"/>
        <v>0</v>
      </c>
      <c r="M48" s="497">
        <f t="shared" si="5"/>
        <v>774.21</v>
      </c>
      <c r="N48" s="509">
        <f t="shared" si="2"/>
        <v>4.5330831281762063E-4</v>
      </c>
      <c r="O48" s="528">
        <f t="shared" si="9"/>
        <v>774.21</v>
      </c>
      <c r="P48" s="528" t="str">
        <f t="shared" si="10"/>
        <v>OK</v>
      </c>
      <c r="R48">
        <f t="shared" si="8"/>
        <v>615.24</v>
      </c>
    </row>
    <row r="49" spans="1:18">
      <c r="A49" s="488" t="s">
        <v>4173</v>
      </c>
      <c r="B49" s="488" t="s">
        <v>4846</v>
      </c>
      <c r="C49" s="488" t="s">
        <v>4144</v>
      </c>
      <c r="D49" s="491" t="s">
        <v>3147</v>
      </c>
      <c r="E49" s="488" t="s">
        <v>2489</v>
      </c>
      <c r="F49" s="488">
        <v>1</v>
      </c>
      <c r="G49" s="497">
        <v>15.47</v>
      </c>
      <c r="H49" s="497">
        <v>19.47</v>
      </c>
      <c r="I49" s="497">
        <v>0</v>
      </c>
      <c r="J49" s="497">
        <f t="shared" si="0"/>
        <v>19.48</v>
      </c>
      <c r="K49" s="497">
        <f t="shared" si="3"/>
        <v>19.47</v>
      </c>
      <c r="L49" s="497">
        <f t="shared" si="4"/>
        <v>0</v>
      </c>
      <c r="M49" s="497">
        <f t="shared" si="5"/>
        <v>19.47</v>
      </c>
      <c r="N49" s="509">
        <f t="shared" si="2"/>
        <v>1.1399895184199471E-5</v>
      </c>
      <c r="O49" s="528">
        <f t="shared" si="9"/>
        <v>19.47</v>
      </c>
      <c r="P49" s="528" t="str">
        <f t="shared" si="10"/>
        <v>OK</v>
      </c>
      <c r="R49">
        <f t="shared" si="8"/>
        <v>15.47</v>
      </c>
    </row>
    <row r="50" spans="1:18" ht="26.4">
      <c r="A50" s="488" t="s">
        <v>4177</v>
      </c>
      <c r="B50" s="488" t="s">
        <v>4847</v>
      </c>
      <c r="C50" s="488" t="s">
        <v>4144</v>
      </c>
      <c r="D50" s="491" t="s">
        <v>4178</v>
      </c>
      <c r="E50" s="488" t="s">
        <v>2894</v>
      </c>
      <c r="F50" s="488">
        <v>1.4</v>
      </c>
      <c r="G50" s="497">
        <v>40.36</v>
      </c>
      <c r="H50" s="497">
        <v>50.82</v>
      </c>
      <c r="I50" s="497">
        <v>0</v>
      </c>
      <c r="J50" s="497">
        <f t="shared" si="0"/>
        <v>50.82</v>
      </c>
      <c r="K50" s="497">
        <f t="shared" si="3"/>
        <v>71.150000000000006</v>
      </c>
      <c r="L50" s="497">
        <f t="shared" si="4"/>
        <v>0</v>
      </c>
      <c r="M50" s="497">
        <f t="shared" si="5"/>
        <v>71.150000000000006</v>
      </c>
      <c r="N50" s="509">
        <f t="shared" si="2"/>
        <v>4.1659093084529656E-5</v>
      </c>
      <c r="O50" s="528">
        <f t="shared" si="9"/>
        <v>71.150000000000006</v>
      </c>
      <c r="P50" s="528" t="str">
        <f t="shared" si="10"/>
        <v>OK</v>
      </c>
      <c r="R50">
        <f t="shared" si="8"/>
        <v>56.5</v>
      </c>
    </row>
    <row r="51" spans="1:18">
      <c r="A51" s="488" t="s">
        <v>4180</v>
      </c>
      <c r="B51" s="488" t="s">
        <v>4848</v>
      </c>
      <c r="C51" s="488" t="s">
        <v>4144</v>
      </c>
      <c r="D51" s="491" t="s">
        <v>4181</v>
      </c>
      <c r="E51" s="488" t="s">
        <v>2489</v>
      </c>
      <c r="F51" s="488">
        <v>6</v>
      </c>
      <c r="G51" s="497">
        <v>11.57</v>
      </c>
      <c r="H51" s="497">
        <v>14.57</v>
      </c>
      <c r="I51" s="497">
        <v>0</v>
      </c>
      <c r="J51" s="497">
        <f t="shared" si="0"/>
        <v>14.57</v>
      </c>
      <c r="K51" s="497">
        <f t="shared" si="3"/>
        <v>87.42</v>
      </c>
      <c r="L51" s="497">
        <f t="shared" si="4"/>
        <v>0</v>
      </c>
      <c r="M51" s="497">
        <f t="shared" si="5"/>
        <v>87.42</v>
      </c>
      <c r="N51" s="509">
        <f t="shared" si="2"/>
        <v>5.1185353723817041E-5</v>
      </c>
      <c r="O51" s="528">
        <f t="shared" si="9"/>
        <v>87.42</v>
      </c>
      <c r="P51" s="528" t="str">
        <f t="shared" si="10"/>
        <v>OK</v>
      </c>
      <c r="R51">
        <f t="shared" si="8"/>
        <v>69.42</v>
      </c>
    </row>
    <row r="52" spans="1:18">
      <c r="A52" s="488" t="s">
        <v>4183</v>
      </c>
      <c r="B52" s="488" t="s">
        <v>4849</v>
      </c>
      <c r="C52" s="488" t="s">
        <v>4144</v>
      </c>
      <c r="D52" s="491" t="s">
        <v>4184</v>
      </c>
      <c r="E52" s="488" t="s">
        <v>2489</v>
      </c>
      <c r="F52" s="488">
        <v>3</v>
      </c>
      <c r="G52" s="497">
        <v>30.54</v>
      </c>
      <c r="H52" s="497">
        <v>38.46</v>
      </c>
      <c r="I52" s="497">
        <v>0</v>
      </c>
      <c r="J52" s="497">
        <f t="shared" si="0"/>
        <v>38.46</v>
      </c>
      <c r="K52" s="497">
        <f t="shared" si="3"/>
        <v>115.38</v>
      </c>
      <c r="L52" s="497">
        <f t="shared" si="4"/>
        <v>0</v>
      </c>
      <c r="M52" s="497">
        <f t="shared" si="5"/>
        <v>115.38</v>
      </c>
      <c r="N52" s="509">
        <f t="shared" si="2"/>
        <v>6.7556235559986395E-5</v>
      </c>
      <c r="O52" s="528">
        <f t="shared" si="9"/>
        <v>115.38</v>
      </c>
      <c r="P52" s="528" t="str">
        <f t="shared" si="10"/>
        <v>OK</v>
      </c>
      <c r="R52">
        <f t="shared" si="8"/>
        <v>91.62</v>
      </c>
    </row>
    <row r="53" spans="1:18">
      <c r="A53" s="488" t="s">
        <v>4186</v>
      </c>
      <c r="B53" s="488" t="s">
        <v>4850</v>
      </c>
      <c r="C53" s="488" t="s">
        <v>4144</v>
      </c>
      <c r="D53" s="491" t="s">
        <v>3268</v>
      </c>
      <c r="E53" s="488" t="s">
        <v>2477</v>
      </c>
      <c r="F53" s="488">
        <v>15</v>
      </c>
      <c r="G53" s="497">
        <v>4.82</v>
      </c>
      <c r="H53" s="497">
        <v>6.07</v>
      </c>
      <c r="I53" s="497">
        <v>0</v>
      </c>
      <c r="J53" s="497">
        <f t="shared" si="0"/>
        <v>6.07</v>
      </c>
      <c r="K53" s="497">
        <f t="shared" si="3"/>
        <v>91.05</v>
      </c>
      <c r="L53" s="497">
        <f t="shared" si="4"/>
        <v>0</v>
      </c>
      <c r="M53" s="497">
        <f t="shared" si="5"/>
        <v>91.05</v>
      </c>
      <c r="N53" s="509">
        <f t="shared" si="2"/>
        <v>5.331075791070169E-5</v>
      </c>
      <c r="O53" s="528">
        <f t="shared" si="9"/>
        <v>91.05</v>
      </c>
      <c r="P53" s="528" t="str">
        <f t="shared" si="10"/>
        <v>OK</v>
      </c>
      <c r="R53">
        <f t="shared" si="8"/>
        <v>72.3</v>
      </c>
    </row>
    <row r="54" spans="1:18">
      <c r="A54" s="488" t="s">
        <v>4190</v>
      </c>
      <c r="B54" s="488" t="s">
        <v>4851</v>
      </c>
      <c r="C54" s="488" t="s">
        <v>4144</v>
      </c>
      <c r="D54" s="491" t="s">
        <v>3284</v>
      </c>
      <c r="E54" s="488" t="s">
        <v>2489</v>
      </c>
      <c r="F54" s="488">
        <v>6</v>
      </c>
      <c r="G54" s="497">
        <v>26.04</v>
      </c>
      <c r="H54" s="497">
        <v>32.78</v>
      </c>
      <c r="I54" s="497">
        <v>0</v>
      </c>
      <c r="J54" s="497">
        <f t="shared" si="0"/>
        <v>32.79</v>
      </c>
      <c r="K54" s="497">
        <f t="shared" si="3"/>
        <v>196.68</v>
      </c>
      <c r="L54" s="497">
        <f t="shared" si="4"/>
        <v>0</v>
      </c>
      <c r="M54" s="497">
        <f t="shared" si="5"/>
        <v>196.68</v>
      </c>
      <c r="N54" s="509">
        <f t="shared" si="2"/>
        <v>1.1515826321665908E-4</v>
      </c>
      <c r="O54" s="528">
        <f t="shared" si="9"/>
        <v>196.68</v>
      </c>
      <c r="P54" s="528" t="str">
        <f t="shared" si="10"/>
        <v>OK</v>
      </c>
      <c r="R54">
        <f t="shared" si="8"/>
        <v>156.24</v>
      </c>
    </row>
    <row r="55" spans="1:18" ht="26.4">
      <c r="A55" s="488" t="s">
        <v>4192</v>
      </c>
      <c r="B55" s="488" t="s">
        <v>4852</v>
      </c>
      <c r="C55" s="488" t="s">
        <v>4144</v>
      </c>
      <c r="D55" s="491" t="s">
        <v>4193</v>
      </c>
      <c r="E55" s="488" t="s">
        <v>2489</v>
      </c>
      <c r="F55" s="488">
        <v>1</v>
      </c>
      <c r="G55" s="497">
        <v>77.010000000000005</v>
      </c>
      <c r="H55" s="497">
        <v>96.97</v>
      </c>
      <c r="I55" s="497">
        <v>0</v>
      </c>
      <c r="J55" s="497">
        <f t="shared" si="0"/>
        <v>96.97</v>
      </c>
      <c r="K55" s="497">
        <f t="shared" si="3"/>
        <v>96.97</v>
      </c>
      <c r="L55" s="497">
        <f t="shared" si="4"/>
        <v>0</v>
      </c>
      <c r="M55" s="497">
        <f t="shared" si="5"/>
        <v>96.97</v>
      </c>
      <c r="N55" s="509">
        <f t="shared" si="2"/>
        <v>5.677698181878905E-5</v>
      </c>
      <c r="O55" s="528">
        <f t="shared" si="9"/>
        <v>96.97</v>
      </c>
      <c r="P55" s="528" t="str">
        <f t="shared" si="10"/>
        <v>OK</v>
      </c>
      <c r="R55">
        <f t="shared" si="8"/>
        <v>77.010000000000005</v>
      </c>
    </row>
    <row r="56" spans="1:18">
      <c r="A56" s="494" t="s">
        <v>4542</v>
      </c>
      <c r="B56" s="494"/>
      <c r="C56" s="494"/>
      <c r="D56" s="490" t="s">
        <v>94</v>
      </c>
      <c r="E56" s="494"/>
      <c r="F56" s="494"/>
      <c r="G56" s="494"/>
      <c r="H56" s="494"/>
      <c r="I56" s="494"/>
      <c r="J56" s="494"/>
      <c r="K56" s="494"/>
      <c r="L56" s="494"/>
      <c r="M56" s="495">
        <f>ROUND((SUM(M57:M61)),2)</f>
        <v>25161.23</v>
      </c>
      <c r="N56" s="496">
        <f t="shared" si="2"/>
        <v>1.4732171787649474E-2</v>
      </c>
      <c r="R56">
        <f t="shared" si="8"/>
        <v>0</v>
      </c>
    </row>
    <row r="57" spans="1:18">
      <c r="A57" s="488" t="s">
        <v>4543</v>
      </c>
      <c r="B57" s="488" t="s">
        <v>4544</v>
      </c>
      <c r="C57" s="488" t="s">
        <v>4475</v>
      </c>
      <c r="D57" s="491" t="s">
        <v>96</v>
      </c>
      <c r="E57" s="488" t="s">
        <v>2894</v>
      </c>
      <c r="F57" s="488">
        <v>128.38</v>
      </c>
      <c r="G57" s="497">
        <v>81.2</v>
      </c>
      <c r="H57" s="497">
        <v>0</v>
      </c>
      <c r="I57" s="497">
        <v>102.25</v>
      </c>
      <c r="J57" s="497">
        <f>ROUND(G57 * (1 + 25.92 / 100), 2)</f>
        <v>102.25</v>
      </c>
      <c r="K57" s="497">
        <f t="shared" ref="K57:K61" si="11">ROUND(F57 * H57, 2)</f>
        <v>0</v>
      </c>
      <c r="L57" s="497">
        <f t="shared" ref="L57:L61" si="12">ROUND(F57 * I57, 2)</f>
        <v>13126.86</v>
      </c>
      <c r="M57" s="497">
        <f t="shared" si="5"/>
        <v>13126.86</v>
      </c>
      <c r="N57" s="509">
        <f t="shared" si="2"/>
        <v>7.6859182381952074E-3</v>
      </c>
      <c r="O57" s="528">
        <f t="shared" ref="O57:O61" si="13">K57+L57</f>
        <v>13126.86</v>
      </c>
      <c r="P57" s="528" t="str">
        <f t="shared" ref="P57:P61" si="14">IF(O57=M57,"OK","NÃO")</f>
        <v>OK</v>
      </c>
      <c r="R57">
        <f t="shared" si="8"/>
        <v>10424.459999999999</v>
      </c>
    </row>
    <row r="58" spans="1:18" ht="26.4">
      <c r="A58" s="488" t="s">
        <v>4545</v>
      </c>
      <c r="B58" s="488" t="s">
        <v>4546</v>
      </c>
      <c r="C58" s="488" t="s">
        <v>4475</v>
      </c>
      <c r="D58" s="491" t="s">
        <v>97</v>
      </c>
      <c r="E58" s="488" t="s">
        <v>2894</v>
      </c>
      <c r="F58" s="488">
        <v>71.53</v>
      </c>
      <c r="G58" s="497">
        <v>88.69</v>
      </c>
      <c r="H58" s="497">
        <v>9.43</v>
      </c>
      <c r="I58" s="497">
        <v>102.25</v>
      </c>
      <c r="J58" s="497">
        <f>ROUND(G58 * (1 + 25.92 / 100), 2)</f>
        <v>111.68</v>
      </c>
      <c r="K58" s="497">
        <f t="shared" si="11"/>
        <v>674.53</v>
      </c>
      <c r="L58" s="497">
        <f t="shared" si="12"/>
        <v>7313.94</v>
      </c>
      <c r="M58" s="497">
        <f t="shared" si="5"/>
        <v>7988.47</v>
      </c>
      <c r="N58" s="509">
        <f t="shared" si="2"/>
        <v>4.6773354228105777E-3</v>
      </c>
      <c r="O58" s="528">
        <f t="shared" si="13"/>
        <v>7988.4699999999993</v>
      </c>
      <c r="P58" s="528" t="str">
        <f t="shared" si="14"/>
        <v>OK</v>
      </c>
      <c r="R58">
        <f t="shared" si="8"/>
        <v>6344</v>
      </c>
    </row>
    <row r="59" spans="1:18" ht="39.6">
      <c r="A59" s="488" t="s">
        <v>4547</v>
      </c>
      <c r="B59" s="488" t="s">
        <v>4548</v>
      </c>
      <c r="C59" s="488" t="s">
        <v>4475</v>
      </c>
      <c r="D59" s="491" t="s">
        <v>103</v>
      </c>
      <c r="E59" s="488" t="s">
        <v>2488</v>
      </c>
      <c r="F59" s="488">
        <v>1</v>
      </c>
      <c r="G59" s="497">
        <v>290.13</v>
      </c>
      <c r="H59" s="497">
        <v>178.36</v>
      </c>
      <c r="I59" s="497">
        <v>186.97</v>
      </c>
      <c r="J59" s="497">
        <f>ROUND(G59 * (1 + 25.92 / 100), 2)</f>
        <v>365.33</v>
      </c>
      <c r="K59" s="497">
        <f t="shared" si="11"/>
        <v>178.36</v>
      </c>
      <c r="L59" s="497">
        <f t="shared" si="12"/>
        <v>186.97</v>
      </c>
      <c r="M59" s="497">
        <f t="shared" si="5"/>
        <v>365.33</v>
      </c>
      <c r="N59" s="509">
        <f t="shared" si="2"/>
        <v>2.1390465884147883E-4</v>
      </c>
      <c r="O59" s="528">
        <f t="shared" si="13"/>
        <v>365.33000000000004</v>
      </c>
      <c r="P59" s="528" t="str">
        <f t="shared" si="14"/>
        <v>OK</v>
      </c>
      <c r="R59">
        <f t="shared" si="8"/>
        <v>290.13</v>
      </c>
    </row>
    <row r="60" spans="1:18" ht="39.6">
      <c r="A60" s="488" t="s">
        <v>4549</v>
      </c>
      <c r="B60" s="488" t="s">
        <v>4550</v>
      </c>
      <c r="C60" s="488" t="s">
        <v>4475</v>
      </c>
      <c r="D60" s="491" t="s">
        <v>104</v>
      </c>
      <c r="E60" s="488" t="s">
        <v>2488</v>
      </c>
      <c r="F60" s="488">
        <v>1</v>
      </c>
      <c r="G60" s="497">
        <v>290.13</v>
      </c>
      <c r="H60" s="497">
        <v>178.36</v>
      </c>
      <c r="I60" s="497">
        <v>186.97</v>
      </c>
      <c r="J60" s="497">
        <f>ROUND(G60 * (1 + 25.92 / 100), 2)</f>
        <v>365.33</v>
      </c>
      <c r="K60" s="497">
        <f t="shared" si="11"/>
        <v>178.36</v>
      </c>
      <c r="L60" s="497">
        <f t="shared" si="12"/>
        <v>186.97</v>
      </c>
      <c r="M60" s="497">
        <f t="shared" si="5"/>
        <v>365.33</v>
      </c>
      <c r="N60" s="509">
        <f t="shared" si="2"/>
        <v>2.1390465884147883E-4</v>
      </c>
      <c r="O60" s="528">
        <f t="shared" si="13"/>
        <v>365.33000000000004</v>
      </c>
      <c r="P60" s="528" t="str">
        <f t="shared" si="14"/>
        <v>OK</v>
      </c>
      <c r="R60">
        <f t="shared" si="8"/>
        <v>290.13</v>
      </c>
    </row>
    <row r="61" spans="1:18" ht="39.6">
      <c r="A61" s="489" t="s">
        <v>4551</v>
      </c>
      <c r="B61" s="489" t="s">
        <v>4552</v>
      </c>
      <c r="C61" s="489" t="s">
        <v>4155</v>
      </c>
      <c r="D61" s="492" t="s">
        <v>4553</v>
      </c>
      <c r="E61" s="489" t="s">
        <v>4554</v>
      </c>
      <c r="F61" s="489">
        <v>4</v>
      </c>
      <c r="G61" s="498">
        <v>658.2</v>
      </c>
      <c r="H61" s="498">
        <v>0</v>
      </c>
      <c r="I61" s="498">
        <v>828.81</v>
      </c>
      <c r="J61" s="498">
        <f>ROUND(G61 * (1 + 25.92 / 100), 2)</f>
        <v>828.81</v>
      </c>
      <c r="K61" s="497">
        <f t="shared" si="11"/>
        <v>0</v>
      </c>
      <c r="L61" s="497">
        <f t="shared" si="12"/>
        <v>3315.24</v>
      </c>
      <c r="M61" s="497">
        <f t="shared" si="5"/>
        <v>3315.24</v>
      </c>
      <c r="N61" s="509">
        <f t="shared" si="2"/>
        <v>1.9411088089607322E-3</v>
      </c>
      <c r="O61" s="528">
        <f t="shared" si="13"/>
        <v>3315.24</v>
      </c>
      <c r="P61" s="528" t="str">
        <f t="shared" si="14"/>
        <v>OK</v>
      </c>
      <c r="R61">
        <f t="shared" si="8"/>
        <v>2632.8</v>
      </c>
    </row>
    <row r="62" spans="1:18">
      <c r="A62" s="494" t="s">
        <v>4555</v>
      </c>
      <c r="B62" s="494"/>
      <c r="C62" s="494"/>
      <c r="D62" s="490" t="s">
        <v>105</v>
      </c>
      <c r="E62" s="494"/>
      <c r="F62" s="494"/>
      <c r="G62" s="494"/>
      <c r="H62" s="494"/>
      <c r="I62" s="494"/>
      <c r="J62" s="494"/>
      <c r="K62" s="494"/>
      <c r="L62" s="494"/>
      <c r="M62" s="495">
        <f>ROUND((SUM(M63:M64)),2)</f>
        <v>60.7</v>
      </c>
      <c r="N62" s="496">
        <f t="shared" si="2"/>
        <v>3.5540505273801127E-5</v>
      </c>
      <c r="R62">
        <f t="shared" si="8"/>
        <v>0</v>
      </c>
    </row>
    <row r="63" spans="1:18">
      <c r="A63" s="488" t="s">
        <v>4556</v>
      </c>
      <c r="B63" s="488" t="s">
        <v>4557</v>
      </c>
      <c r="C63" s="488" t="s">
        <v>4475</v>
      </c>
      <c r="D63" s="491" t="s">
        <v>106</v>
      </c>
      <c r="E63" s="488" t="s">
        <v>2894</v>
      </c>
      <c r="F63" s="488">
        <v>0.98</v>
      </c>
      <c r="G63" s="497">
        <v>29.59</v>
      </c>
      <c r="H63" s="497">
        <v>37.26</v>
      </c>
      <c r="I63" s="497">
        <v>0</v>
      </c>
      <c r="J63" s="497">
        <f>ROUND(G63 * (1 + 25.92 / 100), 2)</f>
        <v>37.26</v>
      </c>
      <c r="K63" s="497">
        <f t="shared" ref="K63:K64" si="15">ROUND(F63 * H63, 2)</f>
        <v>36.51</v>
      </c>
      <c r="L63" s="497">
        <f t="shared" ref="L63:L64" si="16">ROUND(F63 * I63, 2)</f>
        <v>0</v>
      </c>
      <c r="M63" s="497">
        <f t="shared" si="5"/>
        <v>36.51</v>
      </c>
      <c r="N63" s="510">
        <f t="shared" si="2"/>
        <v>2.1376999135856325E-5</v>
      </c>
      <c r="O63" s="528">
        <f t="shared" ref="O63:O64" si="17">K63+L63</f>
        <v>36.51</v>
      </c>
      <c r="P63" s="528" t="str">
        <f t="shared" ref="P63:P64" si="18">IF(O63=M63,"OK","NÃO")</f>
        <v>OK</v>
      </c>
      <c r="R63">
        <f t="shared" si="8"/>
        <v>29</v>
      </c>
    </row>
    <row r="64" spans="1:18">
      <c r="A64" s="488" t="s">
        <v>4558</v>
      </c>
      <c r="B64" s="488" t="s">
        <v>4559</v>
      </c>
      <c r="C64" s="488" t="s">
        <v>4475</v>
      </c>
      <c r="D64" s="491" t="s">
        <v>109</v>
      </c>
      <c r="E64" s="488" t="s">
        <v>2894</v>
      </c>
      <c r="F64" s="488">
        <v>0.98</v>
      </c>
      <c r="G64" s="497">
        <v>19.600000000000001</v>
      </c>
      <c r="H64" s="497">
        <v>24.68</v>
      </c>
      <c r="I64" s="497">
        <v>0</v>
      </c>
      <c r="J64" s="497">
        <f>ROUND(G64 * (1 + 25.92 / 100), 2)</f>
        <v>24.68</v>
      </c>
      <c r="K64" s="497">
        <f t="shared" si="15"/>
        <v>24.19</v>
      </c>
      <c r="L64" s="497">
        <f t="shared" si="16"/>
        <v>0</v>
      </c>
      <c r="M64" s="497">
        <f t="shared" si="5"/>
        <v>24.19</v>
      </c>
      <c r="N64" s="510">
        <f t="shared" si="2"/>
        <v>1.4163506137944798E-5</v>
      </c>
      <c r="O64" s="528">
        <f t="shared" si="17"/>
        <v>24.19</v>
      </c>
      <c r="P64" s="528" t="str">
        <f t="shared" si="18"/>
        <v>OK</v>
      </c>
      <c r="R64">
        <f t="shared" si="8"/>
        <v>19.21</v>
      </c>
    </row>
    <row r="65" spans="1:18">
      <c r="A65" s="494" t="s">
        <v>4560</v>
      </c>
      <c r="B65" s="494"/>
      <c r="C65" s="494"/>
      <c r="D65" s="490" t="s">
        <v>177</v>
      </c>
      <c r="E65" s="494"/>
      <c r="F65" s="494"/>
      <c r="G65" s="494"/>
      <c r="H65" s="494"/>
      <c r="I65" s="494"/>
      <c r="J65" s="494"/>
      <c r="K65" s="494"/>
      <c r="L65" s="494"/>
      <c r="M65" s="495">
        <f>ROUND((SUM(M66:M67)),2)</f>
        <v>229.46</v>
      </c>
      <c r="N65" s="496">
        <f t="shared" si="2"/>
        <v>1.3435130708610226E-4</v>
      </c>
      <c r="R65">
        <f t="shared" si="8"/>
        <v>0</v>
      </c>
    </row>
    <row r="66" spans="1:18">
      <c r="A66" s="488" t="s">
        <v>4561</v>
      </c>
      <c r="B66" s="488" t="s">
        <v>4562</v>
      </c>
      <c r="C66" s="488" t="s">
        <v>4475</v>
      </c>
      <c r="D66" s="491" t="s">
        <v>178</v>
      </c>
      <c r="E66" s="488" t="s">
        <v>2894</v>
      </c>
      <c r="F66" s="488">
        <v>0.03</v>
      </c>
      <c r="G66" s="497">
        <v>2843.19</v>
      </c>
      <c r="H66" s="497">
        <v>814.54</v>
      </c>
      <c r="I66" s="497">
        <v>2765.6</v>
      </c>
      <c r="J66" s="497">
        <f>ROUND(G66 * (1 + 25.92 / 100), 2)</f>
        <v>3580.14</v>
      </c>
      <c r="K66" s="497">
        <f t="shared" ref="K66:K67" si="19">ROUND(F66 * H66, 2)</f>
        <v>24.44</v>
      </c>
      <c r="L66" s="497">
        <f t="shared" ref="L66:L67" si="20">ROUND(F66 * I66, 2)</f>
        <v>82.97</v>
      </c>
      <c r="M66" s="497">
        <f t="shared" si="5"/>
        <v>107.41</v>
      </c>
      <c r="N66" s="509">
        <f t="shared" si="2"/>
        <v>6.2889714521564732E-5</v>
      </c>
      <c r="O66" s="528">
        <f t="shared" ref="O66:O67" si="21">K66+L66</f>
        <v>107.41</v>
      </c>
      <c r="P66" s="528" t="str">
        <f t="shared" ref="P66:P67" si="22">IF(O66=M66,"OK","NÃO")</f>
        <v>OK</v>
      </c>
      <c r="R66">
        <f t="shared" si="8"/>
        <v>85.3</v>
      </c>
    </row>
    <row r="67" spans="1:18">
      <c r="A67" s="488" t="s">
        <v>4563</v>
      </c>
      <c r="B67" s="488" t="s">
        <v>4564</v>
      </c>
      <c r="C67" s="488" t="s">
        <v>4475</v>
      </c>
      <c r="D67" s="491" t="s">
        <v>180</v>
      </c>
      <c r="E67" s="488" t="s">
        <v>2114</v>
      </c>
      <c r="F67" s="488">
        <v>3.5</v>
      </c>
      <c r="G67" s="497">
        <v>27.69</v>
      </c>
      <c r="H67" s="497">
        <v>3.39</v>
      </c>
      <c r="I67" s="497">
        <v>31.48</v>
      </c>
      <c r="J67" s="497">
        <f>ROUND(G67 * (1 + 25.92 / 100), 2)</f>
        <v>34.869999999999997</v>
      </c>
      <c r="K67" s="497">
        <f t="shared" si="19"/>
        <v>11.87</v>
      </c>
      <c r="L67" s="497">
        <f t="shared" si="20"/>
        <v>110.18</v>
      </c>
      <c r="M67" s="497">
        <f t="shared" si="5"/>
        <v>122.05</v>
      </c>
      <c r="N67" s="509">
        <f t="shared" si="2"/>
        <v>7.1461592564537517E-5</v>
      </c>
      <c r="O67" s="528">
        <f t="shared" si="21"/>
        <v>122.05000000000001</v>
      </c>
      <c r="P67" s="528" t="str">
        <f t="shared" si="22"/>
        <v>OK</v>
      </c>
      <c r="R67">
        <f t="shared" si="8"/>
        <v>96.92</v>
      </c>
    </row>
    <row r="68" spans="1:18">
      <c r="A68" s="494" t="s">
        <v>4565</v>
      </c>
      <c r="B68" s="494"/>
      <c r="C68" s="494"/>
      <c r="D68" s="490" t="s">
        <v>240</v>
      </c>
      <c r="E68" s="494"/>
      <c r="F68" s="494"/>
      <c r="G68" s="494"/>
      <c r="H68" s="494"/>
      <c r="I68" s="494"/>
      <c r="J68" s="494"/>
      <c r="K68" s="494"/>
      <c r="L68" s="494"/>
      <c r="M68" s="495">
        <f>ROUND((SUM(M69:M130)),2)</f>
        <v>142775.9</v>
      </c>
      <c r="N68" s="496">
        <f t="shared" si="2"/>
        <v>8.3596830756535456E-2</v>
      </c>
      <c r="R68">
        <f t="shared" si="8"/>
        <v>0</v>
      </c>
    </row>
    <row r="69" spans="1:18">
      <c r="A69" s="488" t="s">
        <v>4566</v>
      </c>
      <c r="B69" s="488" t="s">
        <v>4567</v>
      </c>
      <c r="C69" s="488" t="s">
        <v>4475</v>
      </c>
      <c r="D69" s="491" t="s">
        <v>255</v>
      </c>
      <c r="E69" s="488" t="s">
        <v>2489</v>
      </c>
      <c r="F69" s="488">
        <v>1686</v>
      </c>
      <c r="G69" s="497">
        <v>0.08</v>
      </c>
      <c r="H69" s="497">
        <v>0</v>
      </c>
      <c r="I69" s="497">
        <v>0.1</v>
      </c>
      <c r="J69" s="497">
        <f t="shared" ref="J69:J130" si="23">ROUND(G69 * (1 + 25.92 / 100), 2)</f>
        <v>0.1</v>
      </c>
      <c r="K69" s="497">
        <f t="shared" ref="K69:K130" si="24">ROUND(F69 * H69, 2)</f>
        <v>0</v>
      </c>
      <c r="L69" s="497">
        <f t="shared" ref="L69:L130" si="25">ROUND(F69 * I69, 2)</f>
        <v>168.6</v>
      </c>
      <c r="M69" s="497">
        <f t="shared" si="5"/>
        <v>168.6</v>
      </c>
      <c r="N69" s="509">
        <f t="shared" si="2"/>
        <v>9.8717120085055517E-5</v>
      </c>
      <c r="O69" s="528">
        <f t="shared" ref="O69:O130" si="26">K69+L69</f>
        <v>168.6</v>
      </c>
      <c r="P69" s="528" t="str">
        <f t="shared" ref="P69:P130" si="27">IF(O69=M69,"OK","NÃO")</f>
        <v>OK</v>
      </c>
      <c r="R69">
        <f t="shared" si="8"/>
        <v>134.88</v>
      </c>
    </row>
    <row r="70" spans="1:18">
      <c r="A70" s="488" t="s">
        <v>4568</v>
      </c>
      <c r="B70" s="488" t="s">
        <v>4569</v>
      </c>
      <c r="C70" s="488" t="s">
        <v>4475</v>
      </c>
      <c r="D70" s="491" t="s">
        <v>259</v>
      </c>
      <c r="E70" s="488" t="s">
        <v>2488</v>
      </c>
      <c r="F70" s="488">
        <v>1</v>
      </c>
      <c r="G70" s="497">
        <v>25.12</v>
      </c>
      <c r="H70" s="497">
        <v>10.17</v>
      </c>
      <c r="I70" s="497">
        <v>21.46</v>
      </c>
      <c r="J70" s="497">
        <f t="shared" si="23"/>
        <v>31.63</v>
      </c>
      <c r="K70" s="497">
        <f t="shared" si="24"/>
        <v>10.17</v>
      </c>
      <c r="L70" s="497">
        <f t="shared" si="25"/>
        <v>21.46</v>
      </c>
      <c r="M70" s="497">
        <f t="shared" si="5"/>
        <v>31.63</v>
      </c>
      <c r="N70" s="509">
        <f t="shared" si="2"/>
        <v>1.8519706454865398E-5</v>
      </c>
      <c r="O70" s="528">
        <f t="shared" si="26"/>
        <v>31.630000000000003</v>
      </c>
      <c r="P70" s="528" t="str">
        <f t="shared" si="27"/>
        <v>OK</v>
      </c>
      <c r="R70">
        <f t="shared" si="8"/>
        <v>25.12</v>
      </c>
    </row>
    <row r="71" spans="1:18">
      <c r="A71" s="488" t="s">
        <v>4570</v>
      </c>
      <c r="B71" s="488" t="s">
        <v>4571</v>
      </c>
      <c r="C71" s="488" t="s">
        <v>4475</v>
      </c>
      <c r="D71" s="491" t="s">
        <v>296</v>
      </c>
      <c r="E71" s="488" t="s">
        <v>2489</v>
      </c>
      <c r="F71" s="488">
        <v>48</v>
      </c>
      <c r="G71" s="497">
        <v>0.96</v>
      </c>
      <c r="H71" s="497">
        <v>0.4</v>
      </c>
      <c r="I71" s="497">
        <v>0.81</v>
      </c>
      <c r="J71" s="497">
        <f t="shared" si="23"/>
        <v>1.21</v>
      </c>
      <c r="K71" s="497">
        <f t="shared" si="24"/>
        <v>19.2</v>
      </c>
      <c r="L71" s="497">
        <f t="shared" si="25"/>
        <v>38.880000000000003</v>
      </c>
      <c r="M71" s="497">
        <f t="shared" si="5"/>
        <v>58.08</v>
      </c>
      <c r="N71" s="509">
        <f t="shared" si="2"/>
        <v>3.4006466990154357E-5</v>
      </c>
      <c r="O71" s="528">
        <f t="shared" si="26"/>
        <v>58.08</v>
      </c>
      <c r="P71" s="528" t="str">
        <f t="shared" si="27"/>
        <v>OK</v>
      </c>
      <c r="R71">
        <f t="shared" si="8"/>
        <v>46.08</v>
      </c>
    </row>
    <row r="72" spans="1:18">
      <c r="A72" s="488" t="s">
        <v>4572</v>
      </c>
      <c r="B72" s="488" t="s">
        <v>4573</v>
      </c>
      <c r="C72" s="488" t="s">
        <v>4475</v>
      </c>
      <c r="D72" s="491" t="s">
        <v>307</v>
      </c>
      <c r="E72" s="488" t="s">
        <v>2489</v>
      </c>
      <c r="F72" s="488">
        <v>384</v>
      </c>
      <c r="G72" s="497">
        <v>1.86</v>
      </c>
      <c r="H72" s="497">
        <v>0.4</v>
      </c>
      <c r="I72" s="497">
        <v>1.94</v>
      </c>
      <c r="J72" s="497">
        <f t="shared" si="23"/>
        <v>2.34</v>
      </c>
      <c r="K72" s="497">
        <f t="shared" si="24"/>
        <v>153.6</v>
      </c>
      <c r="L72" s="497">
        <f t="shared" si="25"/>
        <v>744.96</v>
      </c>
      <c r="M72" s="497">
        <f t="shared" si="5"/>
        <v>898.56</v>
      </c>
      <c r="N72" s="509">
        <f t="shared" si="2"/>
        <v>5.2611658021131365E-4</v>
      </c>
      <c r="O72" s="528">
        <f t="shared" si="26"/>
        <v>898.56000000000006</v>
      </c>
      <c r="P72" s="528" t="str">
        <f t="shared" si="27"/>
        <v>OK</v>
      </c>
      <c r="R72">
        <f t="shared" si="8"/>
        <v>714.24</v>
      </c>
    </row>
    <row r="73" spans="1:18">
      <c r="A73" s="488" t="s">
        <v>4574</v>
      </c>
      <c r="B73" s="488" t="s">
        <v>4575</v>
      </c>
      <c r="C73" s="488" t="s">
        <v>4475</v>
      </c>
      <c r="D73" s="491" t="s">
        <v>309</v>
      </c>
      <c r="E73" s="488" t="s">
        <v>2489</v>
      </c>
      <c r="F73" s="488">
        <v>15</v>
      </c>
      <c r="G73" s="497">
        <v>3.61</v>
      </c>
      <c r="H73" s="497">
        <v>1.62</v>
      </c>
      <c r="I73" s="497">
        <v>2.93</v>
      </c>
      <c r="J73" s="497">
        <f t="shared" si="23"/>
        <v>4.55</v>
      </c>
      <c r="K73" s="497">
        <f t="shared" si="24"/>
        <v>24.3</v>
      </c>
      <c r="L73" s="497">
        <f t="shared" si="25"/>
        <v>43.95</v>
      </c>
      <c r="M73" s="497">
        <f t="shared" si="5"/>
        <v>68.25</v>
      </c>
      <c r="N73" s="509">
        <f t="shared" si="2"/>
        <v>3.996111177820308E-5</v>
      </c>
      <c r="O73" s="528">
        <f t="shared" si="26"/>
        <v>68.25</v>
      </c>
      <c r="P73" s="528" t="str">
        <f t="shared" si="27"/>
        <v>OK</v>
      </c>
      <c r="R73">
        <f t="shared" si="8"/>
        <v>54.15</v>
      </c>
    </row>
    <row r="74" spans="1:18">
      <c r="A74" s="488" t="s">
        <v>4576</v>
      </c>
      <c r="B74" s="488" t="s">
        <v>4577</v>
      </c>
      <c r="C74" s="488" t="s">
        <v>4475</v>
      </c>
      <c r="D74" s="491" t="s">
        <v>317</v>
      </c>
      <c r="E74" s="488" t="s">
        <v>2489</v>
      </c>
      <c r="F74" s="488">
        <v>290</v>
      </c>
      <c r="G74" s="497">
        <v>0.64</v>
      </c>
      <c r="H74" s="497">
        <v>0.65</v>
      </c>
      <c r="I74" s="497">
        <v>0.16</v>
      </c>
      <c r="J74" s="497">
        <f t="shared" si="23"/>
        <v>0.81</v>
      </c>
      <c r="K74" s="497">
        <f t="shared" si="24"/>
        <v>188.5</v>
      </c>
      <c r="L74" s="497">
        <f t="shared" si="25"/>
        <v>46.4</v>
      </c>
      <c r="M74" s="497">
        <f t="shared" si="5"/>
        <v>234.9</v>
      </c>
      <c r="N74" s="509">
        <f t="shared" si="2"/>
        <v>1.375364858124528E-4</v>
      </c>
      <c r="O74" s="528">
        <f t="shared" si="26"/>
        <v>234.9</v>
      </c>
      <c r="P74" s="528" t="str">
        <f t="shared" si="27"/>
        <v>OK</v>
      </c>
      <c r="R74">
        <f t="shared" si="8"/>
        <v>185.6</v>
      </c>
    </row>
    <row r="75" spans="1:18">
      <c r="A75" s="488" t="s">
        <v>4578</v>
      </c>
      <c r="B75" s="488" t="s">
        <v>4579</v>
      </c>
      <c r="C75" s="488" t="s">
        <v>4475</v>
      </c>
      <c r="D75" s="491" t="s">
        <v>318</v>
      </c>
      <c r="E75" s="488" t="s">
        <v>2489</v>
      </c>
      <c r="F75" s="488">
        <v>423</v>
      </c>
      <c r="G75" s="497">
        <v>0.7</v>
      </c>
      <c r="H75" s="497">
        <v>0.65</v>
      </c>
      <c r="I75" s="497">
        <v>0.23</v>
      </c>
      <c r="J75" s="497">
        <f t="shared" si="23"/>
        <v>0.88</v>
      </c>
      <c r="K75" s="497">
        <f t="shared" si="24"/>
        <v>274.95</v>
      </c>
      <c r="L75" s="497">
        <f t="shared" si="25"/>
        <v>97.29</v>
      </c>
      <c r="M75" s="497">
        <f t="shared" si="5"/>
        <v>372.24</v>
      </c>
      <c r="N75" s="509">
        <f t="shared" si="2"/>
        <v>2.1795053843689838E-4</v>
      </c>
      <c r="O75" s="528">
        <f t="shared" si="26"/>
        <v>372.24</v>
      </c>
      <c r="P75" s="528" t="str">
        <f t="shared" si="27"/>
        <v>OK</v>
      </c>
      <c r="R75">
        <f t="shared" si="8"/>
        <v>296.10000000000002</v>
      </c>
    </row>
    <row r="76" spans="1:18">
      <c r="A76" s="488" t="s">
        <v>4580</v>
      </c>
      <c r="B76" s="488" t="s">
        <v>4581</v>
      </c>
      <c r="C76" s="488" t="s">
        <v>4475</v>
      </c>
      <c r="D76" s="491" t="s">
        <v>364</v>
      </c>
      <c r="E76" s="488" t="s">
        <v>2487</v>
      </c>
      <c r="F76" s="488">
        <v>5.0999999999999996</v>
      </c>
      <c r="G76" s="497">
        <v>25.47</v>
      </c>
      <c r="H76" s="497">
        <v>3.46</v>
      </c>
      <c r="I76" s="497">
        <v>28.61</v>
      </c>
      <c r="J76" s="497">
        <f t="shared" si="23"/>
        <v>32.07</v>
      </c>
      <c r="K76" s="497">
        <f t="shared" si="24"/>
        <v>17.649999999999999</v>
      </c>
      <c r="L76" s="497">
        <f t="shared" si="25"/>
        <v>145.91</v>
      </c>
      <c r="M76" s="497">
        <f t="shared" si="5"/>
        <v>163.56</v>
      </c>
      <c r="N76" s="509">
        <f t="shared" si="2"/>
        <v>9.5766145676818987E-5</v>
      </c>
      <c r="O76" s="528">
        <f t="shared" si="26"/>
        <v>163.56</v>
      </c>
      <c r="P76" s="528" t="str">
        <f t="shared" si="27"/>
        <v>OK</v>
      </c>
      <c r="R76">
        <f t="shared" si="8"/>
        <v>129.9</v>
      </c>
    </row>
    <row r="77" spans="1:18">
      <c r="A77" s="488" t="s">
        <v>4582</v>
      </c>
      <c r="B77" s="488" t="s">
        <v>4583</v>
      </c>
      <c r="C77" s="488" t="s">
        <v>4475</v>
      </c>
      <c r="D77" s="491" t="s">
        <v>374</v>
      </c>
      <c r="E77" s="488" t="s">
        <v>2114</v>
      </c>
      <c r="F77" s="488">
        <v>809.6</v>
      </c>
      <c r="G77" s="497">
        <v>4.1500000000000004</v>
      </c>
      <c r="H77" s="497">
        <v>2.2400000000000002</v>
      </c>
      <c r="I77" s="497">
        <v>2.99</v>
      </c>
      <c r="J77" s="497">
        <f t="shared" si="23"/>
        <v>5.23</v>
      </c>
      <c r="K77" s="497">
        <f t="shared" si="24"/>
        <v>1813.5</v>
      </c>
      <c r="L77" s="497">
        <f t="shared" si="25"/>
        <v>2420.6999999999998</v>
      </c>
      <c r="M77" s="497">
        <f t="shared" si="5"/>
        <v>4234.2</v>
      </c>
      <c r="N77" s="509">
        <f t="shared" si="2"/>
        <v>2.4791698093958605E-3</v>
      </c>
      <c r="O77" s="528">
        <f t="shared" si="26"/>
        <v>4234.2</v>
      </c>
      <c r="P77" s="528" t="str">
        <f t="shared" si="27"/>
        <v>OK</v>
      </c>
      <c r="R77">
        <f t="shared" si="8"/>
        <v>3359.84</v>
      </c>
    </row>
    <row r="78" spans="1:18">
      <c r="A78" s="488" t="s">
        <v>4584</v>
      </c>
      <c r="B78" s="488" t="s">
        <v>4585</v>
      </c>
      <c r="C78" s="488" t="s">
        <v>4475</v>
      </c>
      <c r="D78" s="491" t="s">
        <v>375</v>
      </c>
      <c r="E78" s="488" t="s">
        <v>2114</v>
      </c>
      <c r="F78" s="488">
        <v>882.95</v>
      </c>
      <c r="G78" s="497">
        <v>6.07</v>
      </c>
      <c r="H78" s="497">
        <v>2.44</v>
      </c>
      <c r="I78" s="497">
        <v>5.2</v>
      </c>
      <c r="J78" s="497">
        <f t="shared" si="23"/>
        <v>7.64</v>
      </c>
      <c r="K78" s="497">
        <f t="shared" si="24"/>
        <v>2154.4</v>
      </c>
      <c r="L78" s="497">
        <f t="shared" si="25"/>
        <v>4591.34</v>
      </c>
      <c r="M78" s="497">
        <f t="shared" si="5"/>
        <v>6745.74</v>
      </c>
      <c r="N78" s="509">
        <f t="shared" si="2"/>
        <v>3.9497035921860161E-3</v>
      </c>
      <c r="O78" s="528">
        <f t="shared" si="26"/>
        <v>6745.74</v>
      </c>
      <c r="P78" s="528" t="str">
        <f t="shared" si="27"/>
        <v>OK</v>
      </c>
      <c r="R78">
        <f t="shared" si="8"/>
        <v>5359.51</v>
      </c>
    </row>
    <row r="79" spans="1:18">
      <c r="A79" s="488" t="s">
        <v>4586</v>
      </c>
      <c r="B79" s="488" t="s">
        <v>4587</v>
      </c>
      <c r="C79" s="488" t="s">
        <v>4475</v>
      </c>
      <c r="D79" s="491" t="s">
        <v>384</v>
      </c>
      <c r="E79" s="488" t="s">
        <v>2487</v>
      </c>
      <c r="F79" s="488">
        <v>871.95</v>
      </c>
      <c r="G79" s="497">
        <v>8.36</v>
      </c>
      <c r="H79" s="497">
        <v>2.64</v>
      </c>
      <c r="I79" s="497">
        <v>7.89</v>
      </c>
      <c r="J79" s="497">
        <f t="shared" si="23"/>
        <v>10.53</v>
      </c>
      <c r="K79" s="497">
        <f t="shared" si="24"/>
        <v>2301.9499999999998</v>
      </c>
      <c r="L79" s="497">
        <f t="shared" si="25"/>
        <v>6879.69</v>
      </c>
      <c r="M79" s="497">
        <f t="shared" si="5"/>
        <v>9181.64</v>
      </c>
      <c r="N79" s="509">
        <f t="shared" si="2"/>
        <v>5.3759493384208127E-3</v>
      </c>
      <c r="O79" s="528">
        <f t="shared" si="26"/>
        <v>9181.64</v>
      </c>
      <c r="P79" s="528" t="str">
        <f t="shared" si="27"/>
        <v>OK</v>
      </c>
      <c r="R79">
        <f t="shared" si="8"/>
        <v>7289.5</v>
      </c>
    </row>
    <row r="80" spans="1:18">
      <c r="A80" s="488" t="s">
        <v>4588</v>
      </c>
      <c r="B80" s="488" t="s">
        <v>4589</v>
      </c>
      <c r="C80" s="488" t="s">
        <v>4475</v>
      </c>
      <c r="D80" s="491" t="s">
        <v>386</v>
      </c>
      <c r="E80" s="488" t="s">
        <v>2487</v>
      </c>
      <c r="F80" s="488">
        <v>50.79</v>
      </c>
      <c r="G80" s="497">
        <v>18.059999999999999</v>
      </c>
      <c r="H80" s="497">
        <v>3.25</v>
      </c>
      <c r="I80" s="497">
        <v>19.489999999999998</v>
      </c>
      <c r="J80" s="497">
        <f t="shared" si="23"/>
        <v>22.74</v>
      </c>
      <c r="K80" s="497">
        <f t="shared" si="24"/>
        <v>165.07</v>
      </c>
      <c r="L80" s="497">
        <f t="shared" si="25"/>
        <v>989.9</v>
      </c>
      <c r="M80" s="497">
        <f t="shared" si="5"/>
        <v>1154.97</v>
      </c>
      <c r="N80" s="509">
        <f t="shared" si="2"/>
        <v>6.7624740323034738E-4</v>
      </c>
      <c r="O80" s="528">
        <f t="shared" si="26"/>
        <v>1154.97</v>
      </c>
      <c r="P80" s="528" t="str">
        <f t="shared" si="27"/>
        <v>OK</v>
      </c>
      <c r="R80">
        <f t="shared" si="8"/>
        <v>917.27</v>
      </c>
    </row>
    <row r="81" spans="1:18">
      <c r="A81" s="488" t="s">
        <v>4590</v>
      </c>
      <c r="B81" s="488" t="s">
        <v>4591</v>
      </c>
      <c r="C81" s="488" t="s">
        <v>4475</v>
      </c>
      <c r="D81" s="491" t="s">
        <v>387</v>
      </c>
      <c r="E81" s="488" t="s">
        <v>2487</v>
      </c>
      <c r="F81" s="488">
        <v>203.16</v>
      </c>
      <c r="G81" s="497">
        <v>26.57</v>
      </c>
      <c r="H81" s="497">
        <v>3.46</v>
      </c>
      <c r="I81" s="497">
        <v>30</v>
      </c>
      <c r="J81" s="497">
        <f t="shared" si="23"/>
        <v>33.46</v>
      </c>
      <c r="K81" s="497">
        <f t="shared" si="24"/>
        <v>702.93</v>
      </c>
      <c r="L81" s="497">
        <f t="shared" si="25"/>
        <v>6094.8</v>
      </c>
      <c r="M81" s="497">
        <f t="shared" si="5"/>
        <v>6797.73</v>
      </c>
      <c r="N81" s="509">
        <f t="shared" si="2"/>
        <v>3.9801442984328849E-3</v>
      </c>
      <c r="O81" s="528">
        <f t="shared" si="26"/>
        <v>6797.7300000000005</v>
      </c>
      <c r="P81" s="528" t="str">
        <f t="shared" si="27"/>
        <v>OK</v>
      </c>
      <c r="R81">
        <f t="shared" si="8"/>
        <v>5397.96</v>
      </c>
    </row>
    <row r="82" spans="1:18">
      <c r="A82" s="488" t="s">
        <v>4592</v>
      </c>
      <c r="B82" s="488" t="s">
        <v>4593</v>
      </c>
      <c r="C82" s="488" t="s">
        <v>4475</v>
      </c>
      <c r="D82" s="491" t="s">
        <v>4594</v>
      </c>
      <c r="E82" s="488" t="s">
        <v>2489</v>
      </c>
      <c r="F82" s="488">
        <v>8</v>
      </c>
      <c r="G82" s="497">
        <v>7.26</v>
      </c>
      <c r="H82" s="497">
        <v>6.1</v>
      </c>
      <c r="I82" s="497">
        <v>3.04</v>
      </c>
      <c r="J82" s="497">
        <f t="shared" si="23"/>
        <v>9.14</v>
      </c>
      <c r="K82" s="497">
        <f t="shared" si="24"/>
        <v>48.8</v>
      </c>
      <c r="L82" s="497">
        <f t="shared" si="25"/>
        <v>24.32</v>
      </c>
      <c r="M82" s="497">
        <f t="shared" si="5"/>
        <v>73.12</v>
      </c>
      <c r="N82" s="509">
        <f t="shared" si="2"/>
        <v>4.2812549351241163E-5</v>
      </c>
      <c r="O82" s="528">
        <f t="shared" si="26"/>
        <v>73.12</v>
      </c>
      <c r="P82" s="528" t="str">
        <f t="shared" si="27"/>
        <v>OK</v>
      </c>
      <c r="R82">
        <f t="shared" si="8"/>
        <v>58.08</v>
      </c>
    </row>
    <row r="83" spans="1:18">
      <c r="A83" s="488" t="s">
        <v>4595</v>
      </c>
      <c r="B83" s="488" t="s">
        <v>4596</v>
      </c>
      <c r="C83" s="488" t="s">
        <v>4475</v>
      </c>
      <c r="D83" s="491" t="s">
        <v>431</v>
      </c>
      <c r="E83" s="488" t="s">
        <v>2489</v>
      </c>
      <c r="F83" s="488">
        <v>8</v>
      </c>
      <c r="G83" s="497">
        <v>10.050000000000001</v>
      </c>
      <c r="H83" s="497">
        <v>6.1</v>
      </c>
      <c r="I83" s="497">
        <v>6.55</v>
      </c>
      <c r="J83" s="497">
        <f t="shared" si="23"/>
        <v>12.65</v>
      </c>
      <c r="K83" s="497">
        <f t="shared" si="24"/>
        <v>48.8</v>
      </c>
      <c r="L83" s="497">
        <f t="shared" si="25"/>
        <v>52.4</v>
      </c>
      <c r="M83" s="497">
        <f t="shared" si="5"/>
        <v>101.2</v>
      </c>
      <c r="N83" s="509">
        <f t="shared" si="2"/>
        <v>5.9253692482844711E-5</v>
      </c>
      <c r="O83" s="528">
        <f t="shared" si="26"/>
        <v>101.19999999999999</v>
      </c>
      <c r="P83" s="528" t="str">
        <f t="shared" si="27"/>
        <v>OK</v>
      </c>
      <c r="R83">
        <f t="shared" si="8"/>
        <v>80.400000000000006</v>
      </c>
    </row>
    <row r="84" spans="1:18">
      <c r="A84" s="488" t="s">
        <v>4597</v>
      </c>
      <c r="B84" s="488" t="s">
        <v>4598</v>
      </c>
      <c r="C84" s="488" t="s">
        <v>4475</v>
      </c>
      <c r="D84" s="491" t="s">
        <v>4599</v>
      </c>
      <c r="E84" s="488" t="s">
        <v>2488</v>
      </c>
      <c r="F84" s="488">
        <v>145</v>
      </c>
      <c r="G84" s="497">
        <v>19.55</v>
      </c>
      <c r="H84" s="497">
        <v>13.83</v>
      </c>
      <c r="I84" s="497">
        <v>10.79</v>
      </c>
      <c r="J84" s="497">
        <f t="shared" si="23"/>
        <v>24.62</v>
      </c>
      <c r="K84" s="497">
        <f t="shared" si="24"/>
        <v>2005.35</v>
      </c>
      <c r="L84" s="497">
        <f t="shared" si="25"/>
        <v>1564.55</v>
      </c>
      <c r="M84" s="497">
        <f t="shared" si="5"/>
        <v>3569.9</v>
      </c>
      <c r="N84" s="509">
        <f t="shared" si="2"/>
        <v>2.0902149880880172E-3</v>
      </c>
      <c r="O84" s="528">
        <f t="shared" si="26"/>
        <v>3569.8999999999996</v>
      </c>
      <c r="P84" s="528" t="str">
        <f t="shared" si="27"/>
        <v>OK</v>
      </c>
      <c r="R84">
        <f t="shared" si="8"/>
        <v>2834.75</v>
      </c>
    </row>
    <row r="85" spans="1:18">
      <c r="A85" s="488" t="s">
        <v>4600</v>
      </c>
      <c r="B85" s="488" t="s">
        <v>4601</v>
      </c>
      <c r="C85" s="488" t="s">
        <v>4475</v>
      </c>
      <c r="D85" s="491" t="s">
        <v>506</v>
      </c>
      <c r="E85" s="488" t="s">
        <v>2488</v>
      </c>
      <c r="F85" s="488">
        <v>290</v>
      </c>
      <c r="G85" s="497">
        <v>5.54</v>
      </c>
      <c r="H85" s="497">
        <v>3.25</v>
      </c>
      <c r="I85" s="497">
        <v>3.73</v>
      </c>
      <c r="J85" s="497">
        <f t="shared" si="23"/>
        <v>6.98</v>
      </c>
      <c r="K85" s="497">
        <f t="shared" si="24"/>
        <v>942.5</v>
      </c>
      <c r="L85" s="497">
        <f t="shared" si="25"/>
        <v>1081.7</v>
      </c>
      <c r="M85" s="497">
        <f t="shared" si="5"/>
        <v>2024.2</v>
      </c>
      <c r="N85" s="509">
        <f t="shared" si="2"/>
        <v>1.1851909518159512E-3</v>
      </c>
      <c r="O85" s="528">
        <f t="shared" si="26"/>
        <v>2024.2</v>
      </c>
      <c r="P85" s="528" t="str">
        <f t="shared" si="27"/>
        <v>OK</v>
      </c>
      <c r="R85">
        <f t="shared" si="8"/>
        <v>1606.6</v>
      </c>
    </row>
    <row r="86" spans="1:18">
      <c r="A86" s="488" t="s">
        <v>4602</v>
      </c>
      <c r="B86" s="488" t="s">
        <v>4603</v>
      </c>
      <c r="C86" s="488" t="s">
        <v>4475</v>
      </c>
      <c r="D86" s="491" t="s">
        <v>4604</v>
      </c>
      <c r="E86" s="488" t="s">
        <v>2488</v>
      </c>
      <c r="F86" s="488">
        <v>417</v>
      </c>
      <c r="G86" s="497">
        <v>1.23</v>
      </c>
      <c r="H86" s="497">
        <v>1.22</v>
      </c>
      <c r="I86" s="497">
        <v>0.33</v>
      </c>
      <c r="J86" s="497">
        <f t="shared" si="23"/>
        <v>1.55</v>
      </c>
      <c r="K86" s="497">
        <f t="shared" si="24"/>
        <v>508.74</v>
      </c>
      <c r="L86" s="497">
        <f t="shared" si="25"/>
        <v>137.61000000000001</v>
      </c>
      <c r="M86" s="497">
        <f t="shared" si="5"/>
        <v>646.35</v>
      </c>
      <c r="N86" s="509">
        <f t="shared" ref="N86:N149" si="28">M86 / $L$274</f>
        <v>3.7844490253247706E-4</v>
      </c>
      <c r="O86" s="528">
        <f t="shared" si="26"/>
        <v>646.35</v>
      </c>
      <c r="P86" s="528" t="str">
        <f t="shared" si="27"/>
        <v>OK</v>
      </c>
      <c r="R86">
        <f t="shared" si="8"/>
        <v>512.91</v>
      </c>
    </row>
    <row r="87" spans="1:18">
      <c r="A87" s="488" t="s">
        <v>4605</v>
      </c>
      <c r="B87" s="488" t="s">
        <v>4606</v>
      </c>
      <c r="C87" s="488" t="s">
        <v>4475</v>
      </c>
      <c r="D87" s="491" t="s">
        <v>548</v>
      </c>
      <c r="E87" s="488" t="s">
        <v>2489</v>
      </c>
      <c r="F87" s="488">
        <v>38</v>
      </c>
      <c r="G87" s="497">
        <v>10.15</v>
      </c>
      <c r="H87" s="497">
        <v>5.69</v>
      </c>
      <c r="I87" s="497">
        <v>7.09</v>
      </c>
      <c r="J87" s="497">
        <f t="shared" si="23"/>
        <v>12.78</v>
      </c>
      <c r="K87" s="497">
        <f t="shared" si="24"/>
        <v>216.22</v>
      </c>
      <c r="L87" s="497">
        <f t="shared" si="25"/>
        <v>269.42</v>
      </c>
      <c r="M87" s="497">
        <f t="shared" ref="M87:M130" si="29">ROUND((K87+L87), 2)</f>
        <v>485.64</v>
      </c>
      <c r="N87" s="509">
        <f t="shared" si="28"/>
        <v>2.8434746262222038E-4</v>
      </c>
      <c r="O87" s="528">
        <f t="shared" si="26"/>
        <v>485.64</v>
      </c>
      <c r="P87" s="528" t="str">
        <f t="shared" si="27"/>
        <v>OK</v>
      </c>
      <c r="R87">
        <f t="shared" ref="R87:R150" si="30">ROUND((F87*G87),2)</f>
        <v>385.7</v>
      </c>
    </row>
    <row r="88" spans="1:18">
      <c r="A88" s="488" t="s">
        <v>4607</v>
      </c>
      <c r="B88" s="488" t="s">
        <v>4608</v>
      </c>
      <c r="C88" s="488" t="s">
        <v>4475</v>
      </c>
      <c r="D88" s="491" t="s">
        <v>575</v>
      </c>
      <c r="E88" s="488" t="s">
        <v>2489</v>
      </c>
      <c r="F88" s="488">
        <v>33</v>
      </c>
      <c r="G88" s="497">
        <v>21.57</v>
      </c>
      <c r="H88" s="497">
        <v>12.2</v>
      </c>
      <c r="I88" s="497">
        <v>14.96</v>
      </c>
      <c r="J88" s="497">
        <f t="shared" si="23"/>
        <v>27.16</v>
      </c>
      <c r="K88" s="497">
        <f t="shared" si="24"/>
        <v>402.6</v>
      </c>
      <c r="L88" s="497">
        <f t="shared" si="25"/>
        <v>493.68</v>
      </c>
      <c r="M88" s="497">
        <f t="shared" si="29"/>
        <v>896.28</v>
      </c>
      <c r="N88" s="509">
        <f t="shared" si="28"/>
        <v>5.2478161559806383E-4</v>
      </c>
      <c r="O88" s="528">
        <f t="shared" si="26"/>
        <v>896.28</v>
      </c>
      <c r="P88" s="528" t="str">
        <f t="shared" si="27"/>
        <v>OK</v>
      </c>
      <c r="R88">
        <f t="shared" si="30"/>
        <v>711.81</v>
      </c>
    </row>
    <row r="89" spans="1:18">
      <c r="A89" s="488" t="s">
        <v>4609</v>
      </c>
      <c r="B89" s="488" t="s">
        <v>4610</v>
      </c>
      <c r="C89" s="488" t="s">
        <v>4475</v>
      </c>
      <c r="D89" s="491" t="s">
        <v>577</v>
      </c>
      <c r="E89" s="488" t="s">
        <v>2489</v>
      </c>
      <c r="F89" s="488">
        <v>10</v>
      </c>
      <c r="G89" s="497">
        <v>96</v>
      </c>
      <c r="H89" s="497">
        <v>36.58</v>
      </c>
      <c r="I89" s="497">
        <v>84.3</v>
      </c>
      <c r="J89" s="497">
        <f t="shared" si="23"/>
        <v>120.88</v>
      </c>
      <c r="K89" s="497">
        <f t="shared" si="24"/>
        <v>365.8</v>
      </c>
      <c r="L89" s="497">
        <f t="shared" si="25"/>
        <v>843</v>
      </c>
      <c r="M89" s="497">
        <f t="shared" si="29"/>
        <v>1208.8</v>
      </c>
      <c r="N89" s="509">
        <f t="shared" si="28"/>
        <v>7.0776544934054032E-4</v>
      </c>
      <c r="O89" s="528">
        <f t="shared" si="26"/>
        <v>1208.8</v>
      </c>
      <c r="P89" s="528" t="str">
        <f t="shared" si="27"/>
        <v>OK</v>
      </c>
      <c r="R89">
        <f t="shared" si="30"/>
        <v>960</v>
      </c>
    </row>
    <row r="90" spans="1:18">
      <c r="A90" s="488" t="s">
        <v>4611</v>
      </c>
      <c r="B90" s="488" t="s">
        <v>4612</v>
      </c>
      <c r="C90" s="488" t="s">
        <v>4475</v>
      </c>
      <c r="D90" s="491" t="s">
        <v>579</v>
      </c>
      <c r="E90" s="488" t="s">
        <v>2489</v>
      </c>
      <c r="F90" s="488">
        <v>2</v>
      </c>
      <c r="G90" s="497">
        <v>346.62</v>
      </c>
      <c r="H90" s="497">
        <v>36.58</v>
      </c>
      <c r="I90" s="497">
        <v>399.88</v>
      </c>
      <c r="J90" s="497">
        <f t="shared" si="23"/>
        <v>436.46</v>
      </c>
      <c r="K90" s="497">
        <f t="shared" si="24"/>
        <v>73.16</v>
      </c>
      <c r="L90" s="497">
        <f t="shared" si="25"/>
        <v>799.76</v>
      </c>
      <c r="M90" s="497">
        <f t="shared" si="29"/>
        <v>872.92</v>
      </c>
      <c r="N90" s="509">
        <f t="shared" si="28"/>
        <v>5.111040834202056E-4</v>
      </c>
      <c r="O90" s="528">
        <f t="shared" si="26"/>
        <v>872.92</v>
      </c>
      <c r="P90" s="528" t="str">
        <f t="shared" si="27"/>
        <v>OK</v>
      </c>
      <c r="R90">
        <f t="shared" si="30"/>
        <v>693.24</v>
      </c>
    </row>
    <row r="91" spans="1:18" ht="26.4">
      <c r="A91" s="488" t="s">
        <v>4613</v>
      </c>
      <c r="B91" s="488" t="s">
        <v>4614</v>
      </c>
      <c r="C91" s="488" t="s">
        <v>4475</v>
      </c>
      <c r="D91" s="491" t="s">
        <v>591</v>
      </c>
      <c r="E91" s="488" t="s">
        <v>2487</v>
      </c>
      <c r="F91" s="488">
        <v>465.08</v>
      </c>
      <c r="G91" s="497">
        <v>9.6</v>
      </c>
      <c r="H91" s="497">
        <v>8.1199999999999992</v>
      </c>
      <c r="I91" s="497">
        <v>3.97</v>
      </c>
      <c r="J91" s="497">
        <f t="shared" si="23"/>
        <v>12.09</v>
      </c>
      <c r="K91" s="497">
        <f t="shared" si="24"/>
        <v>3776.45</v>
      </c>
      <c r="L91" s="497">
        <f t="shared" si="25"/>
        <v>1846.37</v>
      </c>
      <c r="M91" s="497">
        <f t="shared" si="29"/>
        <v>5622.82</v>
      </c>
      <c r="N91" s="509">
        <f t="shared" si="28"/>
        <v>3.2922218099445543E-3</v>
      </c>
      <c r="O91" s="528">
        <f t="shared" si="26"/>
        <v>5622.82</v>
      </c>
      <c r="P91" s="528" t="str">
        <f t="shared" si="27"/>
        <v>OK</v>
      </c>
      <c r="R91">
        <f t="shared" si="30"/>
        <v>4464.7700000000004</v>
      </c>
    </row>
    <row r="92" spans="1:18" ht="26.4">
      <c r="A92" s="488" t="s">
        <v>4615</v>
      </c>
      <c r="B92" s="488" t="s">
        <v>4616</v>
      </c>
      <c r="C92" s="488" t="s">
        <v>4475</v>
      </c>
      <c r="D92" s="491" t="s">
        <v>592</v>
      </c>
      <c r="E92" s="488" t="s">
        <v>2487</v>
      </c>
      <c r="F92" s="488">
        <v>5.3</v>
      </c>
      <c r="G92" s="497">
        <v>9.61</v>
      </c>
      <c r="H92" s="497">
        <v>8.1199999999999992</v>
      </c>
      <c r="I92" s="497">
        <v>3.98</v>
      </c>
      <c r="J92" s="497">
        <f t="shared" si="23"/>
        <v>12.1</v>
      </c>
      <c r="K92" s="497">
        <f t="shared" si="24"/>
        <v>43.04</v>
      </c>
      <c r="L92" s="497">
        <f t="shared" si="25"/>
        <v>21.09</v>
      </c>
      <c r="M92" s="497">
        <f t="shared" si="29"/>
        <v>64.13</v>
      </c>
      <c r="N92" s="509">
        <f t="shared" si="28"/>
        <v>3.7548807301628766E-5</v>
      </c>
      <c r="O92" s="528">
        <f t="shared" si="26"/>
        <v>64.13</v>
      </c>
      <c r="P92" s="528" t="str">
        <f t="shared" si="27"/>
        <v>OK</v>
      </c>
      <c r="R92">
        <f t="shared" si="30"/>
        <v>50.93</v>
      </c>
    </row>
    <row r="93" spans="1:18" ht="26.4">
      <c r="A93" s="488" t="s">
        <v>4617</v>
      </c>
      <c r="B93" s="488" t="s">
        <v>4618</v>
      </c>
      <c r="C93" s="488" t="s">
        <v>4475</v>
      </c>
      <c r="D93" s="491" t="s">
        <v>595</v>
      </c>
      <c r="E93" s="488" t="s">
        <v>2487</v>
      </c>
      <c r="F93" s="488">
        <v>7.87</v>
      </c>
      <c r="G93" s="497">
        <v>34.31</v>
      </c>
      <c r="H93" s="497">
        <v>32.53</v>
      </c>
      <c r="I93" s="497">
        <v>10.67</v>
      </c>
      <c r="J93" s="497">
        <f t="shared" si="23"/>
        <v>43.2</v>
      </c>
      <c r="K93" s="497">
        <f t="shared" si="24"/>
        <v>256.01</v>
      </c>
      <c r="L93" s="497">
        <f t="shared" si="25"/>
        <v>83.97</v>
      </c>
      <c r="M93" s="497">
        <f t="shared" si="29"/>
        <v>339.98</v>
      </c>
      <c r="N93" s="509">
        <f t="shared" si="28"/>
        <v>1.9906196018100342E-4</v>
      </c>
      <c r="O93" s="528">
        <f t="shared" si="26"/>
        <v>339.98</v>
      </c>
      <c r="P93" s="528" t="str">
        <f t="shared" si="27"/>
        <v>OK</v>
      </c>
      <c r="R93">
        <f t="shared" si="30"/>
        <v>270.02</v>
      </c>
    </row>
    <row r="94" spans="1:18">
      <c r="A94" s="488" t="s">
        <v>4619</v>
      </c>
      <c r="B94" s="488" t="s">
        <v>4620</v>
      </c>
      <c r="C94" s="488" t="s">
        <v>4475</v>
      </c>
      <c r="D94" s="491" t="s">
        <v>619</v>
      </c>
      <c r="E94" s="488" t="s">
        <v>2487</v>
      </c>
      <c r="F94" s="488">
        <v>326.55</v>
      </c>
      <c r="G94" s="497">
        <v>23.32</v>
      </c>
      <c r="H94" s="497">
        <v>16.27</v>
      </c>
      <c r="I94" s="497">
        <v>13.09</v>
      </c>
      <c r="J94" s="497">
        <f t="shared" si="23"/>
        <v>29.36</v>
      </c>
      <c r="K94" s="497">
        <f t="shared" si="24"/>
        <v>5312.97</v>
      </c>
      <c r="L94" s="497">
        <f t="shared" si="25"/>
        <v>4274.54</v>
      </c>
      <c r="M94" s="497">
        <f t="shared" si="29"/>
        <v>9587.51</v>
      </c>
      <c r="N94" s="509">
        <f t="shared" si="28"/>
        <v>5.6135906049031474E-3</v>
      </c>
      <c r="O94" s="528">
        <f t="shared" si="26"/>
        <v>9587.51</v>
      </c>
      <c r="P94" s="528" t="str">
        <f t="shared" si="27"/>
        <v>OK</v>
      </c>
      <c r="R94">
        <f t="shared" si="30"/>
        <v>7615.15</v>
      </c>
    </row>
    <row r="95" spans="1:18">
      <c r="A95" s="488" t="s">
        <v>4621</v>
      </c>
      <c r="B95" s="488" t="s">
        <v>4622</v>
      </c>
      <c r="C95" s="488" t="s">
        <v>4475</v>
      </c>
      <c r="D95" s="491" t="s">
        <v>621</v>
      </c>
      <c r="E95" s="488" t="s">
        <v>2487</v>
      </c>
      <c r="F95" s="488">
        <v>11.22</v>
      </c>
      <c r="G95" s="497">
        <v>46.06</v>
      </c>
      <c r="H95" s="497">
        <v>28.45</v>
      </c>
      <c r="I95" s="497">
        <v>29.55</v>
      </c>
      <c r="J95" s="497">
        <f t="shared" si="23"/>
        <v>58</v>
      </c>
      <c r="K95" s="497">
        <f t="shared" si="24"/>
        <v>319.20999999999998</v>
      </c>
      <c r="L95" s="497">
        <f t="shared" si="25"/>
        <v>331.55</v>
      </c>
      <c r="M95" s="497">
        <f t="shared" si="29"/>
        <v>650.76</v>
      </c>
      <c r="N95" s="509">
        <f t="shared" si="28"/>
        <v>3.8102700513968402E-4</v>
      </c>
      <c r="O95" s="528">
        <f t="shared" si="26"/>
        <v>650.76</v>
      </c>
      <c r="P95" s="528" t="str">
        <f t="shared" si="27"/>
        <v>OK</v>
      </c>
      <c r="R95">
        <f t="shared" si="30"/>
        <v>516.79</v>
      </c>
    </row>
    <row r="96" spans="1:18">
      <c r="A96" s="488" t="s">
        <v>4623</v>
      </c>
      <c r="B96" s="488" t="s">
        <v>4624</v>
      </c>
      <c r="C96" s="488" t="s">
        <v>4475</v>
      </c>
      <c r="D96" s="491" t="s">
        <v>650</v>
      </c>
      <c r="E96" s="488" t="s">
        <v>2489</v>
      </c>
      <c r="F96" s="488">
        <v>1</v>
      </c>
      <c r="G96" s="497">
        <v>83.52</v>
      </c>
      <c r="H96" s="497">
        <v>12.2</v>
      </c>
      <c r="I96" s="497">
        <v>92.97</v>
      </c>
      <c r="J96" s="497">
        <f t="shared" si="23"/>
        <v>105.17</v>
      </c>
      <c r="K96" s="497">
        <f t="shared" si="24"/>
        <v>12.2</v>
      </c>
      <c r="L96" s="497">
        <f t="shared" si="25"/>
        <v>92.97</v>
      </c>
      <c r="M96" s="497">
        <f t="shared" si="29"/>
        <v>105.17</v>
      </c>
      <c r="N96" s="509">
        <f t="shared" si="28"/>
        <v>6.1578170340126267E-5</v>
      </c>
      <c r="O96" s="528">
        <f t="shared" si="26"/>
        <v>105.17</v>
      </c>
      <c r="P96" s="528" t="str">
        <f t="shared" si="27"/>
        <v>OK</v>
      </c>
      <c r="R96">
        <f t="shared" si="30"/>
        <v>83.52</v>
      </c>
    </row>
    <row r="97" spans="1:18">
      <c r="A97" s="488" t="s">
        <v>4625</v>
      </c>
      <c r="B97" s="488" t="s">
        <v>4626</v>
      </c>
      <c r="C97" s="488" t="s">
        <v>4475</v>
      </c>
      <c r="D97" s="491" t="s">
        <v>660</v>
      </c>
      <c r="E97" s="488" t="s">
        <v>2489</v>
      </c>
      <c r="F97" s="488">
        <v>3</v>
      </c>
      <c r="G97" s="497">
        <v>33.72</v>
      </c>
      <c r="H97" s="497">
        <v>21.54</v>
      </c>
      <c r="I97" s="497">
        <v>20.92</v>
      </c>
      <c r="J97" s="497">
        <f t="shared" si="23"/>
        <v>42.46</v>
      </c>
      <c r="K97" s="497">
        <f t="shared" si="24"/>
        <v>64.62</v>
      </c>
      <c r="L97" s="497">
        <f t="shared" si="25"/>
        <v>62.76</v>
      </c>
      <c r="M97" s="497">
        <f t="shared" si="29"/>
        <v>127.38</v>
      </c>
      <c r="N97" s="509">
        <f t="shared" si="28"/>
        <v>7.4582365103406707E-5</v>
      </c>
      <c r="O97" s="528">
        <f t="shared" si="26"/>
        <v>127.38</v>
      </c>
      <c r="P97" s="528" t="str">
        <f t="shared" si="27"/>
        <v>OK</v>
      </c>
      <c r="R97">
        <f t="shared" si="30"/>
        <v>101.16</v>
      </c>
    </row>
    <row r="98" spans="1:18">
      <c r="A98" s="488" t="s">
        <v>4627</v>
      </c>
      <c r="B98" s="488" t="s">
        <v>4628</v>
      </c>
      <c r="C98" s="488" t="s">
        <v>4475</v>
      </c>
      <c r="D98" s="491" t="s">
        <v>661</v>
      </c>
      <c r="E98" s="488" t="s">
        <v>2489</v>
      </c>
      <c r="F98" s="488">
        <v>5</v>
      </c>
      <c r="G98" s="497">
        <v>14.49</v>
      </c>
      <c r="H98" s="497">
        <v>8.5399999999999991</v>
      </c>
      <c r="I98" s="497">
        <v>9.7100000000000009</v>
      </c>
      <c r="J98" s="497">
        <f t="shared" si="23"/>
        <v>18.25</v>
      </c>
      <c r="K98" s="497">
        <f t="shared" si="24"/>
        <v>42.7</v>
      </c>
      <c r="L98" s="497">
        <f t="shared" si="25"/>
        <v>48.55</v>
      </c>
      <c r="M98" s="497">
        <f t="shared" si="29"/>
        <v>91.25</v>
      </c>
      <c r="N98" s="509">
        <f t="shared" si="28"/>
        <v>5.3427860069758694E-5</v>
      </c>
      <c r="O98" s="528">
        <f t="shared" si="26"/>
        <v>91.25</v>
      </c>
      <c r="P98" s="528" t="str">
        <f t="shared" si="27"/>
        <v>OK</v>
      </c>
      <c r="R98">
        <f t="shared" si="30"/>
        <v>72.45</v>
      </c>
    </row>
    <row r="99" spans="1:18">
      <c r="A99" s="488" t="s">
        <v>4629</v>
      </c>
      <c r="B99" s="488" t="s">
        <v>4630</v>
      </c>
      <c r="C99" s="488" t="s">
        <v>4475</v>
      </c>
      <c r="D99" s="491" t="s">
        <v>756</v>
      </c>
      <c r="E99" s="488" t="s">
        <v>2489</v>
      </c>
      <c r="F99" s="488">
        <v>37</v>
      </c>
      <c r="G99" s="497">
        <v>4.0599999999999996</v>
      </c>
      <c r="H99" s="497">
        <v>2.44</v>
      </c>
      <c r="I99" s="497">
        <v>2.67</v>
      </c>
      <c r="J99" s="497">
        <f t="shared" si="23"/>
        <v>5.1100000000000003</v>
      </c>
      <c r="K99" s="497">
        <f t="shared" si="24"/>
        <v>90.28</v>
      </c>
      <c r="L99" s="497">
        <f t="shared" si="25"/>
        <v>98.79</v>
      </c>
      <c r="M99" s="497">
        <f t="shared" si="29"/>
        <v>189.07</v>
      </c>
      <c r="N99" s="509">
        <f t="shared" si="28"/>
        <v>1.1070252606454002E-4</v>
      </c>
      <c r="O99" s="528">
        <f t="shared" si="26"/>
        <v>189.07</v>
      </c>
      <c r="P99" s="528" t="str">
        <f t="shared" si="27"/>
        <v>OK</v>
      </c>
      <c r="R99">
        <f t="shared" si="30"/>
        <v>150.22</v>
      </c>
    </row>
    <row r="100" spans="1:18">
      <c r="A100" s="488" t="s">
        <v>4631</v>
      </c>
      <c r="B100" s="488" t="s">
        <v>4632</v>
      </c>
      <c r="C100" s="488" t="s">
        <v>4475</v>
      </c>
      <c r="D100" s="491" t="s">
        <v>805</v>
      </c>
      <c r="E100" s="488" t="s">
        <v>2489</v>
      </c>
      <c r="F100" s="488">
        <v>290</v>
      </c>
      <c r="G100" s="497">
        <v>0.42</v>
      </c>
      <c r="H100" s="497">
        <v>0.4</v>
      </c>
      <c r="I100" s="497">
        <v>0.13</v>
      </c>
      <c r="J100" s="497">
        <f t="shared" si="23"/>
        <v>0.53</v>
      </c>
      <c r="K100" s="497">
        <f t="shared" si="24"/>
        <v>116</v>
      </c>
      <c r="L100" s="497">
        <f t="shared" si="25"/>
        <v>37.700000000000003</v>
      </c>
      <c r="M100" s="497">
        <f t="shared" si="29"/>
        <v>153.69999999999999</v>
      </c>
      <c r="N100" s="509">
        <f t="shared" si="28"/>
        <v>8.9993009235308607E-5</v>
      </c>
      <c r="O100" s="528">
        <f t="shared" si="26"/>
        <v>153.69999999999999</v>
      </c>
      <c r="P100" s="528" t="str">
        <f t="shared" si="27"/>
        <v>OK</v>
      </c>
      <c r="R100">
        <f t="shared" si="30"/>
        <v>121.8</v>
      </c>
    </row>
    <row r="101" spans="1:18">
      <c r="A101" s="488" t="s">
        <v>4633</v>
      </c>
      <c r="B101" s="488" t="s">
        <v>4634</v>
      </c>
      <c r="C101" s="488" t="s">
        <v>4475</v>
      </c>
      <c r="D101" s="491" t="s">
        <v>806</v>
      </c>
      <c r="E101" s="488" t="s">
        <v>2489</v>
      </c>
      <c r="F101" s="488">
        <v>423</v>
      </c>
      <c r="G101" s="497">
        <v>0.44</v>
      </c>
      <c r="H101" s="497">
        <v>0.4</v>
      </c>
      <c r="I101" s="497">
        <v>0.15</v>
      </c>
      <c r="J101" s="497">
        <f t="shared" si="23"/>
        <v>0.55000000000000004</v>
      </c>
      <c r="K101" s="497">
        <f t="shared" si="24"/>
        <v>169.2</v>
      </c>
      <c r="L101" s="497">
        <f t="shared" si="25"/>
        <v>63.45</v>
      </c>
      <c r="M101" s="497">
        <f t="shared" si="29"/>
        <v>232.65</v>
      </c>
      <c r="N101" s="509">
        <f t="shared" si="28"/>
        <v>1.3621908652306148E-4</v>
      </c>
      <c r="O101" s="528">
        <f t="shared" si="26"/>
        <v>232.64999999999998</v>
      </c>
      <c r="P101" s="528" t="str">
        <f t="shared" si="27"/>
        <v>OK</v>
      </c>
      <c r="R101">
        <f t="shared" si="30"/>
        <v>186.12</v>
      </c>
    </row>
    <row r="102" spans="1:18">
      <c r="A102" s="488" t="s">
        <v>4635</v>
      </c>
      <c r="B102" s="488" t="s">
        <v>4636</v>
      </c>
      <c r="C102" s="488" t="s">
        <v>4475</v>
      </c>
      <c r="D102" s="491" t="s">
        <v>812</v>
      </c>
      <c r="E102" s="488" t="s">
        <v>2489</v>
      </c>
      <c r="F102" s="488">
        <v>856</v>
      </c>
      <c r="G102" s="497">
        <v>0.45</v>
      </c>
      <c r="H102" s="497">
        <v>0.27</v>
      </c>
      <c r="I102" s="497">
        <v>0.3</v>
      </c>
      <c r="J102" s="497">
        <f t="shared" si="23"/>
        <v>0.56999999999999995</v>
      </c>
      <c r="K102" s="497">
        <f t="shared" si="24"/>
        <v>231.12</v>
      </c>
      <c r="L102" s="497">
        <f t="shared" si="25"/>
        <v>256.8</v>
      </c>
      <c r="M102" s="497">
        <f t="shared" si="29"/>
        <v>487.92</v>
      </c>
      <c r="N102" s="509">
        <f t="shared" si="28"/>
        <v>2.856824272354703E-4</v>
      </c>
      <c r="O102" s="528">
        <f t="shared" si="26"/>
        <v>487.92</v>
      </c>
      <c r="P102" s="528" t="str">
        <f t="shared" si="27"/>
        <v>OK</v>
      </c>
      <c r="R102">
        <f t="shared" si="30"/>
        <v>385.2</v>
      </c>
    </row>
    <row r="103" spans="1:18">
      <c r="A103" s="488" t="s">
        <v>4637</v>
      </c>
      <c r="B103" s="488" t="s">
        <v>4638</v>
      </c>
      <c r="C103" s="488" t="s">
        <v>4475</v>
      </c>
      <c r="D103" s="491" t="s">
        <v>819</v>
      </c>
      <c r="E103" s="488" t="s">
        <v>2489</v>
      </c>
      <c r="F103" s="488">
        <v>974</v>
      </c>
      <c r="G103" s="497">
        <v>0.37</v>
      </c>
      <c r="H103" s="497">
        <v>0.27</v>
      </c>
      <c r="I103" s="497">
        <v>0.2</v>
      </c>
      <c r="J103" s="497">
        <f t="shared" si="23"/>
        <v>0.47</v>
      </c>
      <c r="K103" s="497">
        <f t="shared" si="24"/>
        <v>262.98</v>
      </c>
      <c r="L103" s="497">
        <f t="shared" si="25"/>
        <v>194.8</v>
      </c>
      <c r="M103" s="497">
        <f t="shared" si="29"/>
        <v>457.78</v>
      </c>
      <c r="N103" s="509">
        <f t="shared" si="28"/>
        <v>2.6803513186557956E-4</v>
      </c>
      <c r="O103" s="528">
        <f t="shared" si="26"/>
        <v>457.78000000000003</v>
      </c>
      <c r="P103" s="528" t="str">
        <f t="shared" si="27"/>
        <v>OK</v>
      </c>
      <c r="R103">
        <f t="shared" si="30"/>
        <v>360.38</v>
      </c>
    </row>
    <row r="104" spans="1:18">
      <c r="A104" s="488" t="s">
        <v>4639</v>
      </c>
      <c r="B104" s="488" t="s">
        <v>4640</v>
      </c>
      <c r="C104" s="488" t="s">
        <v>4475</v>
      </c>
      <c r="D104" s="491" t="s">
        <v>851</v>
      </c>
      <c r="E104" s="488" t="s">
        <v>2488</v>
      </c>
      <c r="F104" s="488">
        <v>1</v>
      </c>
      <c r="G104" s="497">
        <v>425.38</v>
      </c>
      <c r="H104" s="497">
        <v>162.6</v>
      </c>
      <c r="I104" s="497">
        <v>373.04</v>
      </c>
      <c r="J104" s="497">
        <f t="shared" si="23"/>
        <v>535.64</v>
      </c>
      <c r="K104" s="497">
        <f t="shared" si="24"/>
        <v>162.6</v>
      </c>
      <c r="L104" s="497">
        <f t="shared" si="25"/>
        <v>373.04</v>
      </c>
      <c r="M104" s="497">
        <f t="shared" si="29"/>
        <v>535.64</v>
      </c>
      <c r="N104" s="509">
        <f t="shared" si="28"/>
        <v>3.1362300238647173E-4</v>
      </c>
      <c r="O104" s="528">
        <f t="shared" si="26"/>
        <v>535.64</v>
      </c>
      <c r="P104" s="528" t="str">
        <f t="shared" si="27"/>
        <v>OK</v>
      </c>
      <c r="R104">
        <f t="shared" si="30"/>
        <v>425.38</v>
      </c>
    </row>
    <row r="105" spans="1:18">
      <c r="A105" s="488" t="s">
        <v>4641</v>
      </c>
      <c r="B105" s="488" t="s">
        <v>4642</v>
      </c>
      <c r="C105" s="488" t="s">
        <v>4475</v>
      </c>
      <c r="D105" s="491" t="s">
        <v>898</v>
      </c>
      <c r="E105" s="488" t="s">
        <v>2489</v>
      </c>
      <c r="F105" s="488">
        <v>21</v>
      </c>
      <c r="G105" s="497">
        <v>6.32</v>
      </c>
      <c r="H105" s="497">
        <v>4.87</v>
      </c>
      <c r="I105" s="497">
        <v>3.09</v>
      </c>
      <c r="J105" s="497">
        <f t="shared" si="23"/>
        <v>7.96</v>
      </c>
      <c r="K105" s="497">
        <f t="shared" si="24"/>
        <v>102.27</v>
      </c>
      <c r="L105" s="497">
        <f t="shared" si="25"/>
        <v>64.89</v>
      </c>
      <c r="M105" s="497">
        <f t="shared" si="29"/>
        <v>167.16</v>
      </c>
      <c r="N105" s="509">
        <f t="shared" si="28"/>
        <v>9.787398453984508E-5</v>
      </c>
      <c r="O105" s="528">
        <f t="shared" si="26"/>
        <v>167.16</v>
      </c>
      <c r="P105" s="528" t="str">
        <f t="shared" si="27"/>
        <v>OK</v>
      </c>
      <c r="R105">
        <f t="shared" si="30"/>
        <v>132.72</v>
      </c>
    </row>
    <row r="106" spans="1:18">
      <c r="A106" s="488" t="s">
        <v>4643</v>
      </c>
      <c r="B106" s="488" t="s">
        <v>4644</v>
      </c>
      <c r="C106" s="488" t="s">
        <v>4475</v>
      </c>
      <c r="D106" s="491" t="s">
        <v>918</v>
      </c>
      <c r="E106" s="488" t="s">
        <v>2489</v>
      </c>
      <c r="F106" s="488">
        <v>7</v>
      </c>
      <c r="G106" s="497">
        <v>5.19</v>
      </c>
      <c r="H106" s="497">
        <v>1.22</v>
      </c>
      <c r="I106" s="497">
        <v>5.32</v>
      </c>
      <c r="J106" s="497">
        <f t="shared" si="23"/>
        <v>6.54</v>
      </c>
      <c r="K106" s="497">
        <f t="shared" si="24"/>
        <v>8.5399999999999991</v>
      </c>
      <c r="L106" s="497">
        <f t="shared" si="25"/>
        <v>37.24</v>
      </c>
      <c r="M106" s="497">
        <f t="shared" si="29"/>
        <v>45.78</v>
      </c>
      <c r="N106" s="509">
        <f t="shared" si="28"/>
        <v>2.6804684208148529E-5</v>
      </c>
      <c r="O106" s="528">
        <f t="shared" si="26"/>
        <v>45.78</v>
      </c>
      <c r="P106" s="528" t="str">
        <f t="shared" si="27"/>
        <v>OK</v>
      </c>
      <c r="R106">
        <f t="shared" si="30"/>
        <v>36.33</v>
      </c>
    </row>
    <row r="107" spans="1:18">
      <c r="A107" s="488" t="s">
        <v>4645</v>
      </c>
      <c r="B107" s="488" t="s">
        <v>4646</v>
      </c>
      <c r="C107" s="488" t="s">
        <v>4475</v>
      </c>
      <c r="D107" s="491" t="s">
        <v>930</v>
      </c>
      <c r="E107" s="488" t="s">
        <v>2489</v>
      </c>
      <c r="F107" s="488">
        <v>3</v>
      </c>
      <c r="G107" s="497">
        <v>7.39</v>
      </c>
      <c r="H107" s="497">
        <v>1.22</v>
      </c>
      <c r="I107" s="497">
        <v>8.09</v>
      </c>
      <c r="J107" s="497">
        <f t="shared" si="23"/>
        <v>9.31</v>
      </c>
      <c r="K107" s="497">
        <f t="shared" si="24"/>
        <v>3.66</v>
      </c>
      <c r="L107" s="497">
        <f t="shared" si="25"/>
        <v>24.27</v>
      </c>
      <c r="M107" s="497">
        <f t="shared" si="29"/>
        <v>27.93</v>
      </c>
      <c r="N107" s="509">
        <f t="shared" si="28"/>
        <v>1.6353316512310797E-5</v>
      </c>
      <c r="O107" s="528">
        <f t="shared" si="26"/>
        <v>27.93</v>
      </c>
      <c r="P107" s="528" t="str">
        <f t="shared" si="27"/>
        <v>OK</v>
      </c>
      <c r="R107">
        <f t="shared" si="30"/>
        <v>22.17</v>
      </c>
    </row>
    <row r="108" spans="1:18">
      <c r="A108" s="488" t="s">
        <v>4647</v>
      </c>
      <c r="B108" s="488" t="s">
        <v>4648</v>
      </c>
      <c r="C108" s="488" t="s">
        <v>4475</v>
      </c>
      <c r="D108" s="491" t="s">
        <v>931</v>
      </c>
      <c r="E108" s="488" t="s">
        <v>2489</v>
      </c>
      <c r="F108" s="488">
        <v>23</v>
      </c>
      <c r="G108" s="497">
        <v>6.46</v>
      </c>
      <c r="H108" s="497">
        <v>1.22</v>
      </c>
      <c r="I108" s="497">
        <v>6.91</v>
      </c>
      <c r="J108" s="497">
        <f t="shared" si="23"/>
        <v>8.1300000000000008</v>
      </c>
      <c r="K108" s="497">
        <f t="shared" si="24"/>
        <v>28.06</v>
      </c>
      <c r="L108" s="497">
        <f t="shared" si="25"/>
        <v>158.93</v>
      </c>
      <c r="M108" s="497">
        <f t="shared" si="29"/>
        <v>186.99</v>
      </c>
      <c r="N108" s="509">
        <f t="shared" si="28"/>
        <v>1.0948466361034716E-4</v>
      </c>
      <c r="O108" s="528">
        <f t="shared" si="26"/>
        <v>186.99</v>
      </c>
      <c r="P108" s="528" t="str">
        <f t="shared" si="27"/>
        <v>OK</v>
      </c>
      <c r="R108">
        <f t="shared" si="30"/>
        <v>148.58000000000001</v>
      </c>
    </row>
    <row r="109" spans="1:18">
      <c r="A109" s="488" t="s">
        <v>4649</v>
      </c>
      <c r="B109" s="488" t="s">
        <v>4650</v>
      </c>
      <c r="C109" s="488" t="s">
        <v>4475</v>
      </c>
      <c r="D109" s="491" t="s">
        <v>932</v>
      </c>
      <c r="E109" s="488" t="s">
        <v>2488</v>
      </c>
      <c r="F109" s="488">
        <v>38</v>
      </c>
      <c r="G109" s="497">
        <v>5.88</v>
      </c>
      <c r="H109" s="497">
        <v>1.22</v>
      </c>
      <c r="I109" s="497">
        <v>6.18</v>
      </c>
      <c r="J109" s="497">
        <f t="shared" si="23"/>
        <v>7.4</v>
      </c>
      <c r="K109" s="497">
        <f t="shared" si="24"/>
        <v>46.36</v>
      </c>
      <c r="L109" s="497">
        <f t="shared" si="25"/>
        <v>234.84</v>
      </c>
      <c r="M109" s="497">
        <f t="shared" si="29"/>
        <v>281.2</v>
      </c>
      <c r="N109" s="509">
        <f t="shared" si="28"/>
        <v>1.6464563563414953E-4</v>
      </c>
      <c r="O109" s="528">
        <f t="shared" si="26"/>
        <v>281.2</v>
      </c>
      <c r="P109" s="528" t="str">
        <f t="shared" si="27"/>
        <v>OK</v>
      </c>
      <c r="R109">
        <f t="shared" si="30"/>
        <v>223.44</v>
      </c>
    </row>
    <row r="110" spans="1:18">
      <c r="A110" s="488" t="s">
        <v>4651</v>
      </c>
      <c r="B110" s="488" t="s">
        <v>4652</v>
      </c>
      <c r="C110" s="488" t="s">
        <v>4475</v>
      </c>
      <c r="D110" s="491" t="s">
        <v>946</v>
      </c>
      <c r="E110" s="488" t="s">
        <v>2489</v>
      </c>
      <c r="F110" s="488">
        <v>19</v>
      </c>
      <c r="G110" s="497">
        <v>39.520000000000003</v>
      </c>
      <c r="H110" s="497">
        <v>15.05</v>
      </c>
      <c r="I110" s="497">
        <v>34.71</v>
      </c>
      <c r="J110" s="497">
        <f t="shared" si="23"/>
        <v>49.76</v>
      </c>
      <c r="K110" s="497">
        <f t="shared" si="24"/>
        <v>285.95</v>
      </c>
      <c r="L110" s="497">
        <f t="shared" si="25"/>
        <v>659.49</v>
      </c>
      <c r="M110" s="497">
        <f t="shared" si="29"/>
        <v>945.44</v>
      </c>
      <c r="N110" s="509">
        <f t="shared" si="28"/>
        <v>5.5356532629427578E-4</v>
      </c>
      <c r="O110" s="528">
        <f t="shared" si="26"/>
        <v>945.44</v>
      </c>
      <c r="P110" s="528" t="str">
        <f t="shared" si="27"/>
        <v>OK</v>
      </c>
      <c r="R110">
        <f t="shared" si="30"/>
        <v>750.88</v>
      </c>
    </row>
    <row r="111" spans="1:18">
      <c r="A111" s="488" t="s">
        <v>4653</v>
      </c>
      <c r="B111" s="488" t="s">
        <v>4654</v>
      </c>
      <c r="C111" s="488" t="s">
        <v>4475</v>
      </c>
      <c r="D111" s="491" t="s">
        <v>950</v>
      </c>
      <c r="E111" s="488" t="s">
        <v>2489</v>
      </c>
      <c r="F111" s="488">
        <v>37</v>
      </c>
      <c r="G111" s="497">
        <v>17.21</v>
      </c>
      <c r="H111" s="497">
        <v>11.8</v>
      </c>
      <c r="I111" s="497">
        <v>9.8699999999999992</v>
      </c>
      <c r="J111" s="497">
        <f t="shared" si="23"/>
        <v>21.67</v>
      </c>
      <c r="K111" s="497">
        <f t="shared" si="24"/>
        <v>436.6</v>
      </c>
      <c r="L111" s="497">
        <f t="shared" si="25"/>
        <v>365.19</v>
      </c>
      <c r="M111" s="497">
        <f t="shared" si="29"/>
        <v>801.79</v>
      </c>
      <c r="N111" s="509">
        <f t="shared" si="28"/>
        <v>4.6945670055158163E-4</v>
      </c>
      <c r="O111" s="528">
        <f t="shared" si="26"/>
        <v>801.79</v>
      </c>
      <c r="P111" s="528" t="str">
        <f t="shared" si="27"/>
        <v>OK</v>
      </c>
      <c r="R111">
        <f t="shared" si="30"/>
        <v>636.77</v>
      </c>
    </row>
    <row r="112" spans="1:18">
      <c r="A112" s="488" t="s">
        <v>4655</v>
      </c>
      <c r="B112" s="488" t="s">
        <v>4656</v>
      </c>
      <c r="C112" s="488" t="s">
        <v>4475</v>
      </c>
      <c r="D112" s="491" t="s">
        <v>951</v>
      </c>
      <c r="E112" s="488" t="s">
        <v>2488</v>
      </c>
      <c r="F112" s="488">
        <v>53</v>
      </c>
      <c r="G112" s="497">
        <v>23.9</v>
      </c>
      <c r="H112" s="497">
        <v>13.02</v>
      </c>
      <c r="I112" s="497">
        <v>17.07</v>
      </c>
      <c r="J112" s="497">
        <f t="shared" si="23"/>
        <v>30.09</v>
      </c>
      <c r="K112" s="497">
        <f t="shared" si="24"/>
        <v>690.06</v>
      </c>
      <c r="L112" s="497">
        <f t="shared" si="25"/>
        <v>904.71</v>
      </c>
      <c r="M112" s="497">
        <f t="shared" si="29"/>
        <v>1594.77</v>
      </c>
      <c r="N112" s="509">
        <f t="shared" si="28"/>
        <v>9.3375505099670218E-4</v>
      </c>
      <c r="O112" s="528">
        <f t="shared" si="26"/>
        <v>1594.77</v>
      </c>
      <c r="P112" s="528" t="str">
        <f t="shared" si="27"/>
        <v>OK</v>
      </c>
      <c r="R112">
        <f t="shared" si="30"/>
        <v>1266.7</v>
      </c>
    </row>
    <row r="113" spans="1:18">
      <c r="A113" s="488" t="s">
        <v>4657</v>
      </c>
      <c r="B113" s="488" t="s">
        <v>4658</v>
      </c>
      <c r="C113" s="488" t="s">
        <v>4475</v>
      </c>
      <c r="D113" s="491" t="s">
        <v>952</v>
      </c>
      <c r="E113" s="488" t="s">
        <v>2489</v>
      </c>
      <c r="F113" s="488">
        <v>18</v>
      </c>
      <c r="G113" s="497">
        <v>20.95</v>
      </c>
      <c r="H113" s="497">
        <v>11.8</v>
      </c>
      <c r="I113" s="497">
        <v>14.58</v>
      </c>
      <c r="J113" s="497">
        <f t="shared" si="23"/>
        <v>26.38</v>
      </c>
      <c r="K113" s="497">
        <f t="shared" si="24"/>
        <v>212.4</v>
      </c>
      <c r="L113" s="497">
        <f t="shared" si="25"/>
        <v>262.44</v>
      </c>
      <c r="M113" s="497">
        <f t="shared" si="29"/>
        <v>474.84</v>
      </c>
      <c r="N113" s="509">
        <f t="shared" si="28"/>
        <v>2.7802394603314209E-4</v>
      </c>
      <c r="O113" s="528">
        <f t="shared" si="26"/>
        <v>474.84000000000003</v>
      </c>
      <c r="P113" s="528" t="str">
        <f t="shared" si="27"/>
        <v>OK</v>
      </c>
      <c r="R113">
        <f t="shared" si="30"/>
        <v>377.1</v>
      </c>
    </row>
    <row r="114" spans="1:18">
      <c r="A114" s="488" t="s">
        <v>4659</v>
      </c>
      <c r="B114" s="488" t="s">
        <v>4660</v>
      </c>
      <c r="C114" s="488" t="s">
        <v>4475</v>
      </c>
      <c r="D114" s="491" t="s">
        <v>968</v>
      </c>
      <c r="E114" s="488" t="s">
        <v>2487</v>
      </c>
      <c r="F114" s="488">
        <v>109</v>
      </c>
      <c r="G114" s="497">
        <v>12.09</v>
      </c>
      <c r="H114" s="497">
        <v>9.75</v>
      </c>
      <c r="I114" s="497">
        <v>5.47</v>
      </c>
      <c r="J114" s="497">
        <f t="shared" si="23"/>
        <v>15.22</v>
      </c>
      <c r="K114" s="497">
        <f t="shared" si="24"/>
        <v>1062.75</v>
      </c>
      <c r="L114" s="497">
        <f t="shared" si="25"/>
        <v>596.23</v>
      </c>
      <c r="M114" s="497">
        <f t="shared" si="29"/>
        <v>1658.98</v>
      </c>
      <c r="N114" s="509">
        <f t="shared" si="28"/>
        <v>9.7135069916195376E-4</v>
      </c>
      <c r="O114" s="528">
        <f t="shared" si="26"/>
        <v>1658.98</v>
      </c>
      <c r="P114" s="528" t="str">
        <f t="shared" si="27"/>
        <v>OK</v>
      </c>
      <c r="R114">
        <f t="shared" si="30"/>
        <v>1317.81</v>
      </c>
    </row>
    <row r="115" spans="1:18" ht="26.4">
      <c r="A115" s="488" t="s">
        <v>4194</v>
      </c>
      <c r="B115" s="488" t="s">
        <v>4853</v>
      </c>
      <c r="C115" s="488" t="s">
        <v>4144</v>
      </c>
      <c r="D115" s="491" t="s">
        <v>2499</v>
      </c>
      <c r="E115" s="488" t="s">
        <v>2489</v>
      </c>
      <c r="F115" s="488">
        <v>208</v>
      </c>
      <c r="G115" s="497">
        <v>7.51</v>
      </c>
      <c r="H115" s="497">
        <v>6.1</v>
      </c>
      <c r="I115" s="497">
        <v>3.36</v>
      </c>
      <c r="J115" s="497">
        <f t="shared" si="23"/>
        <v>9.4600000000000009</v>
      </c>
      <c r="K115" s="497">
        <f t="shared" si="24"/>
        <v>1268.8</v>
      </c>
      <c r="L115" s="497">
        <f t="shared" si="25"/>
        <v>698.88</v>
      </c>
      <c r="M115" s="497">
        <f t="shared" si="29"/>
        <v>1967.68</v>
      </c>
      <c r="N115" s="509">
        <f t="shared" si="28"/>
        <v>1.1520978816664416E-3</v>
      </c>
      <c r="O115" s="528">
        <f t="shared" si="26"/>
        <v>1967.6799999999998</v>
      </c>
      <c r="P115" s="528" t="str">
        <f t="shared" si="27"/>
        <v>OK</v>
      </c>
      <c r="R115">
        <f t="shared" si="30"/>
        <v>1562.08</v>
      </c>
    </row>
    <row r="116" spans="1:18">
      <c r="A116" s="488" t="s">
        <v>4198</v>
      </c>
      <c r="B116" s="488" t="s">
        <v>4854</v>
      </c>
      <c r="C116" s="488" t="s">
        <v>4144</v>
      </c>
      <c r="D116" s="491" t="s">
        <v>2500</v>
      </c>
      <c r="E116" s="488" t="s">
        <v>2489</v>
      </c>
      <c r="F116" s="488">
        <v>218</v>
      </c>
      <c r="G116" s="497">
        <v>0.17</v>
      </c>
      <c r="H116" s="497">
        <v>0</v>
      </c>
      <c r="I116" s="497">
        <v>0.21</v>
      </c>
      <c r="J116" s="497">
        <f t="shared" si="23"/>
        <v>0.21</v>
      </c>
      <c r="K116" s="497">
        <f t="shared" si="24"/>
        <v>0</v>
      </c>
      <c r="L116" s="497">
        <f t="shared" si="25"/>
        <v>45.78</v>
      </c>
      <c r="M116" s="497">
        <f t="shared" si="29"/>
        <v>45.78</v>
      </c>
      <c r="N116" s="509">
        <f t="shared" si="28"/>
        <v>2.6804684208148529E-5</v>
      </c>
      <c r="O116" s="528">
        <f t="shared" si="26"/>
        <v>45.78</v>
      </c>
      <c r="P116" s="528" t="str">
        <f t="shared" si="27"/>
        <v>OK</v>
      </c>
      <c r="R116">
        <f t="shared" si="30"/>
        <v>37.06</v>
      </c>
    </row>
    <row r="117" spans="1:18">
      <c r="A117" s="488" t="s">
        <v>4200</v>
      </c>
      <c r="B117" s="488" t="s">
        <v>4855</v>
      </c>
      <c r="C117" s="488" t="s">
        <v>4144</v>
      </c>
      <c r="D117" s="491" t="s">
        <v>2556</v>
      </c>
      <c r="E117" s="488" t="s">
        <v>2489</v>
      </c>
      <c r="F117" s="488">
        <v>218</v>
      </c>
      <c r="G117" s="497">
        <v>1.38</v>
      </c>
      <c r="H117" s="497">
        <v>0.27</v>
      </c>
      <c r="I117" s="497">
        <v>1.47</v>
      </c>
      <c r="J117" s="497">
        <f t="shared" si="23"/>
        <v>1.74</v>
      </c>
      <c r="K117" s="497">
        <f t="shared" si="24"/>
        <v>58.86</v>
      </c>
      <c r="L117" s="497">
        <f t="shared" si="25"/>
        <v>320.45999999999998</v>
      </c>
      <c r="M117" s="497">
        <f t="shared" si="29"/>
        <v>379.32</v>
      </c>
      <c r="N117" s="509">
        <f t="shared" si="28"/>
        <v>2.2209595486751636E-4</v>
      </c>
      <c r="O117" s="528">
        <f t="shared" si="26"/>
        <v>379.32</v>
      </c>
      <c r="P117" s="528" t="str">
        <f t="shared" si="27"/>
        <v>OK</v>
      </c>
      <c r="R117">
        <f t="shared" si="30"/>
        <v>300.83999999999997</v>
      </c>
    </row>
    <row r="118" spans="1:18">
      <c r="A118" s="488" t="s">
        <v>4204</v>
      </c>
      <c r="B118" s="488" t="s">
        <v>4856</v>
      </c>
      <c r="C118" s="488" t="s">
        <v>4144</v>
      </c>
      <c r="D118" s="491" t="s">
        <v>2501</v>
      </c>
      <c r="E118" s="488" t="s">
        <v>2489</v>
      </c>
      <c r="F118" s="488">
        <v>218</v>
      </c>
      <c r="G118" s="497">
        <v>0.46</v>
      </c>
      <c r="H118" s="497">
        <v>0.27</v>
      </c>
      <c r="I118" s="497">
        <v>0.31</v>
      </c>
      <c r="J118" s="497">
        <f t="shared" si="23"/>
        <v>0.57999999999999996</v>
      </c>
      <c r="K118" s="497">
        <f t="shared" si="24"/>
        <v>58.86</v>
      </c>
      <c r="L118" s="497">
        <f t="shared" si="25"/>
        <v>67.58</v>
      </c>
      <c r="M118" s="497">
        <f t="shared" si="29"/>
        <v>126.44</v>
      </c>
      <c r="N118" s="509">
        <f t="shared" si="28"/>
        <v>7.4031984955838783E-5</v>
      </c>
      <c r="O118" s="528">
        <f t="shared" si="26"/>
        <v>126.44</v>
      </c>
      <c r="P118" s="528" t="str">
        <f t="shared" si="27"/>
        <v>OK</v>
      </c>
      <c r="R118">
        <f t="shared" si="30"/>
        <v>100.28</v>
      </c>
    </row>
    <row r="119" spans="1:18" ht="26.4">
      <c r="A119" s="488" t="s">
        <v>4208</v>
      </c>
      <c r="B119" s="488" t="s">
        <v>4857</v>
      </c>
      <c r="C119" s="488" t="s">
        <v>4144</v>
      </c>
      <c r="D119" s="491" t="s">
        <v>4209</v>
      </c>
      <c r="E119" s="488" t="s">
        <v>2489</v>
      </c>
      <c r="F119" s="488">
        <v>53</v>
      </c>
      <c r="G119" s="497">
        <v>5.58</v>
      </c>
      <c r="H119" s="497">
        <v>1.22</v>
      </c>
      <c r="I119" s="497">
        <v>5.81</v>
      </c>
      <c r="J119" s="497">
        <f t="shared" si="23"/>
        <v>7.03</v>
      </c>
      <c r="K119" s="497">
        <f t="shared" si="24"/>
        <v>64.66</v>
      </c>
      <c r="L119" s="497">
        <f t="shared" si="25"/>
        <v>307.93</v>
      </c>
      <c r="M119" s="497">
        <f t="shared" si="29"/>
        <v>372.59</v>
      </c>
      <c r="N119" s="509">
        <f t="shared" si="28"/>
        <v>2.1815546721524811E-4</v>
      </c>
      <c r="O119" s="528">
        <f t="shared" si="26"/>
        <v>372.59000000000003</v>
      </c>
      <c r="P119" s="528" t="str">
        <f t="shared" si="27"/>
        <v>OK</v>
      </c>
      <c r="R119">
        <f t="shared" si="30"/>
        <v>295.74</v>
      </c>
    </row>
    <row r="120" spans="1:18">
      <c r="A120" s="488" t="s">
        <v>4211</v>
      </c>
      <c r="B120" s="488" t="s">
        <v>4858</v>
      </c>
      <c r="C120" s="488" t="s">
        <v>4144</v>
      </c>
      <c r="D120" s="491" t="s">
        <v>2681</v>
      </c>
      <c r="E120" s="488" t="s">
        <v>2489</v>
      </c>
      <c r="F120" s="488">
        <v>8</v>
      </c>
      <c r="G120" s="497">
        <v>55.57</v>
      </c>
      <c r="H120" s="497">
        <v>1.22</v>
      </c>
      <c r="I120" s="497">
        <v>68.75</v>
      </c>
      <c r="J120" s="497">
        <f t="shared" si="23"/>
        <v>69.97</v>
      </c>
      <c r="K120" s="497">
        <f t="shared" si="24"/>
        <v>9.76</v>
      </c>
      <c r="L120" s="497">
        <f t="shared" si="25"/>
        <v>550</v>
      </c>
      <c r="M120" s="497">
        <f t="shared" si="29"/>
        <v>559.76</v>
      </c>
      <c r="N120" s="509">
        <f t="shared" si="28"/>
        <v>3.2774552276874659E-4</v>
      </c>
      <c r="O120" s="528">
        <f t="shared" si="26"/>
        <v>559.76</v>
      </c>
      <c r="P120" s="528" t="str">
        <f t="shared" si="27"/>
        <v>OK</v>
      </c>
      <c r="R120">
        <f t="shared" si="30"/>
        <v>444.56</v>
      </c>
    </row>
    <row r="121" spans="1:18" ht="26.4">
      <c r="A121" s="488" t="s">
        <v>4212</v>
      </c>
      <c r="B121" s="488" t="s">
        <v>4859</v>
      </c>
      <c r="C121" s="488" t="s">
        <v>4144</v>
      </c>
      <c r="D121" s="491" t="s">
        <v>4213</v>
      </c>
      <c r="E121" s="488" t="s">
        <v>2487</v>
      </c>
      <c r="F121" s="488">
        <v>305.11</v>
      </c>
      <c r="G121" s="497">
        <v>53</v>
      </c>
      <c r="H121" s="497">
        <v>16.27</v>
      </c>
      <c r="I121" s="497">
        <v>50.47</v>
      </c>
      <c r="J121" s="497">
        <f t="shared" si="23"/>
        <v>66.739999999999995</v>
      </c>
      <c r="K121" s="497">
        <f t="shared" si="24"/>
        <v>4964.1400000000003</v>
      </c>
      <c r="L121" s="497">
        <f t="shared" si="25"/>
        <v>15398.9</v>
      </c>
      <c r="M121" s="497">
        <f t="shared" si="29"/>
        <v>20363.04</v>
      </c>
      <c r="N121" s="509">
        <f t="shared" si="28"/>
        <v>1.1922779744820812E-2</v>
      </c>
      <c r="O121" s="528">
        <f t="shared" si="26"/>
        <v>20363.04</v>
      </c>
      <c r="P121" s="528" t="str">
        <f t="shared" si="27"/>
        <v>OK</v>
      </c>
      <c r="R121">
        <f t="shared" si="30"/>
        <v>16170.83</v>
      </c>
    </row>
    <row r="122" spans="1:18" ht="26.4">
      <c r="A122" s="488" t="s">
        <v>4215</v>
      </c>
      <c r="B122" s="488" t="s">
        <v>4860</v>
      </c>
      <c r="C122" s="488" t="s">
        <v>4144</v>
      </c>
      <c r="D122" s="491" t="s">
        <v>2572</v>
      </c>
      <c r="E122" s="488" t="s">
        <v>2489</v>
      </c>
      <c r="F122" s="488">
        <v>218</v>
      </c>
      <c r="G122" s="497">
        <v>11.99</v>
      </c>
      <c r="H122" s="497">
        <v>8.1199999999999992</v>
      </c>
      <c r="I122" s="497">
        <v>6.98</v>
      </c>
      <c r="J122" s="497">
        <f t="shared" si="23"/>
        <v>15.1</v>
      </c>
      <c r="K122" s="497">
        <f t="shared" si="24"/>
        <v>1770.16</v>
      </c>
      <c r="L122" s="497">
        <f t="shared" si="25"/>
        <v>1521.64</v>
      </c>
      <c r="M122" s="497">
        <f t="shared" si="29"/>
        <v>3291.8</v>
      </c>
      <c r="N122" s="509">
        <f t="shared" si="28"/>
        <v>1.9273844359192513E-3</v>
      </c>
      <c r="O122" s="528">
        <f t="shared" si="26"/>
        <v>3291.8</v>
      </c>
      <c r="P122" s="528" t="str">
        <f t="shared" si="27"/>
        <v>OK</v>
      </c>
      <c r="R122">
        <f t="shared" si="30"/>
        <v>2613.8200000000002</v>
      </c>
    </row>
    <row r="123" spans="1:18" ht="26.4">
      <c r="A123" s="488" t="s">
        <v>4217</v>
      </c>
      <c r="B123" s="488" t="s">
        <v>4861</v>
      </c>
      <c r="C123" s="488" t="s">
        <v>4144</v>
      </c>
      <c r="D123" s="491" t="s">
        <v>2577</v>
      </c>
      <c r="E123" s="488" t="s">
        <v>2489</v>
      </c>
      <c r="F123" s="488">
        <v>4</v>
      </c>
      <c r="G123" s="497">
        <v>55.22</v>
      </c>
      <c r="H123" s="497">
        <v>8.1199999999999992</v>
      </c>
      <c r="I123" s="497">
        <v>61.41</v>
      </c>
      <c r="J123" s="497">
        <f t="shared" si="23"/>
        <v>69.53</v>
      </c>
      <c r="K123" s="497">
        <f t="shared" si="24"/>
        <v>32.479999999999997</v>
      </c>
      <c r="L123" s="497">
        <f t="shared" si="25"/>
        <v>245.64</v>
      </c>
      <c r="M123" s="497">
        <f t="shared" si="29"/>
        <v>278.12</v>
      </c>
      <c r="N123" s="509">
        <f t="shared" si="28"/>
        <v>1.6284226238467164E-4</v>
      </c>
      <c r="O123" s="528">
        <f t="shared" si="26"/>
        <v>278.12</v>
      </c>
      <c r="P123" s="528" t="str">
        <f t="shared" si="27"/>
        <v>OK</v>
      </c>
      <c r="R123">
        <f t="shared" si="30"/>
        <v>220.88</v>
      </c>
    </row>
    <row r="124" spans="1:18" ht="26.4">
      <c r="A124" s="488" t="s">
        <v>4219</v>
      </c>
      <c r="B124" s="488" t="s">
        <v>4862</v>
      </c>
      <c r="C124" s="488" t="s">
        <v>4144</v>
      </c>
      <c r="D124" s="491" t="s">
        <v>2582</v>
      </c>
      <c r="E124" s="488" t="s">
        <v>2489</v>
      </c>
      <c r="F124" s="488">
        <v>214</v>
      </c>
      <c r="G124" s="497">
        <v>5.16</v>
      </c>
      <c r="H124" s="497">
        <v>4.07</v>
      </c>
      <c r="I124" s="497">
        <v>2.4300000000000002</v>
      </c>
      <c r="J124" s="497">
        <f t="shared" si="23"/>
        <v>6.5</v>
      </c>
      <c r="K124" s="497">
        <f t="shared" si="24"/>
        <v>870.98</v>
      </c>
      <c r="L124" s="497">
        <f t="shared" si="25"/>
        <v>520.02</v>
      </c>
      <c r="M124" s="497">
        <f t="shared" si="29"/>
        <v>1391</v>
      </c>
      <c r="N124" s="509">
        <f t="shared" si="28"/>
        <v>8.1444551624147222E-4</v>
      </c>
      <c r="O124" s="528">
        <f t="shared" si="26"/>
        <v>1391</v>
      </c>
      <c r="P124" s="528" t="str">
        <f t="shared" si="27"/>
        <v>OK</v>
      </c>
      <c r="R124">
        <f t="shared" si="30"/>
        <v>1104.24</v>
      </c>
    </row>
    <row r="125" spans="1:18">
      <c r="A125" s="488" t="s">
        <v>4221</v>
      </c>
      <c r="B125" s="488" t="s">
        <v>4863</v>
      </c>
      <c r="C125" s="488" t="s">
        <v>4144</v>
      </c>
      <c r="D125" s="491" t="s">
        <v>4222</v>
      </c>
      <c r="E125" s="488" t="s">
        <v>2489</v>
      </c>
      <c r="F125" s="488">
        <v>208</v>
      </c>
      <c r="G125" s="497">
        <v>166.05</v>
      </c>
      <c r="H125" s="497">
        <v>20.34</v>
      </c>
      <c r="I125" s="497">
        <v>188.75</v>
      </c>
      <c r="J125" s="497">
        <f t="shared" si="23"/>
        <v>209.09</v>
      </c>
      <c r="K125" s="497">
        <f t="shared" si="24"/>
        <v>4230.72</v>
      </c>
      <c r="L125" s="497">
        <f t="shared" si="25"/>
        <v>39260</v>
      </c>
      <c r="M125" s="497">
        <f t="shared" si="29"/>
        <v>43490.720000000001</v>
      </c>
      <c r="N125" s="509">
        <f t="shared" si="28"/>
        <v>2.546428605471842E-2</v>
      </c>
      <c r="O125" s="528">
        <f t="shared" si="26"/>
        <v>43490.720000000001</v>
      </c>
      <c r="P125" s="528" t="str">
        <f t="shared" si="27"/>
        <v>OK</v>
      </c>
      <c r="R125">
        <f t="shared" si="30"/>
        <v>34538.400000000001</v>
      </c>
    </row>
    <row r="126" spans="1:18" ht="39.6">
      <c r="A126" s="488" t="s">
        <v>4661</v>
      </c>
      <c r="B126" s="488" t="s">
        <v>4662</v>
      </c>
      <c r="C126" s="488" t="s">
        <v>4155</v>
      </c>
      <c r="D126" s="491" t="s">
        <v>2663</v>
      </c>
      <c r="E126" s="488" t="s">
        <v>2477</v>
      </c>
      <c r="F126" s="488">
        <v>1</v>
      </c>
      <c r="G126" s="497">
        <v>535.69000000000005</v>
      </c>
      <c r="H126" s="497">
        <f>ROUND((18.14*1.2592),2)</f>
        <v>22.84</v>
      </c>
      <c r="I126" s="497">
        <f>ROUND((517.55*1.2592),2)</f>
        <v>651.70000000000005</v>
      </c>
      <c r="J126" s="497">
        <f t="shared" si="23"/>
        <v>674.54</v>
      </c>
      <c r="K126" s="497">
        <f t="shared" si="24"/>
        <v>22.84</v>
      </c>
      <c r="L126" s="497">
        <f t="shared" si="25"/>
        <v>651.70000000000005</v>
      </c>
      <c r="M126" s="497">
        <f t="shared" si="29"/>
        <v>674.54</v>
      </c>
      <c r="N126" s="509">
        <f t="shared" si="28"/>
        <v>3.9495045185156195E-4</v>
      </c>
      <c r="O126" s="528">
        <f t="shared" si="26"/>
        <v>674.54000000000008</v>
      </c>
      <c r="P126" s="528" t="str">
        <f t="shared" si="27"/>
        <v>OK</v>
      </c>
      <c r="R126">
        <f t="shared" si="30"/>
        <v>535.69000000000005</v>
      </c>
    </row>
    <row r="127" spans="1:18" ht="26.4">
      <c r="A127" s="488" t="s">
        <v>4225</v>
      </c>
      <c r="B127" s="488" t="s">
        <v>4864</v>
      </c>
      <c r="C127" s="488" t="s">
        <v>4144</v>
      </c>
      <c r="D127" s="491" t="s">
        <v>2665</v>
      </c>
      <c r="E127" s="488" t="s">
        <v>2489</v>
      </c>
      <c r="F127" s="488">
        <v>5</v>
      </c>
      <c r="G127" s="497">
        <v>322.89999999999998</v>
      </c>
      <c r="H127" s="497">
        <v>81.3</v>
      </c>
      <c r="I127" s="497">
        <v>325.3</v>
      </c>
      <c r="J127" s="497">
        <f t="shared" si="23"/>
        <v>406.6</v>
      </c>
      <c r="K127" s="497">
        <f t="shared" si="24"/>
        <v>406.5</v>
      </c>
      <c r="L127" s="497">
        <f t="shared" si="25"/>
        <v>1626.5</v>
      </c>
      <c r="M127" s="497">
        <f t="shared" si="29"/>
        <v>2033</v>
      </c>
      <c r="N127" s="509">
        <f t="shared" si="28"/>
        <v>1.1903434468144595E-3</v>
      </c>
      <c r="O127" s="528">
        <f t="shared" si="26"/>
        <v>2033</v>
      </c>
      <c r="P127" s="528" t="str">
        <f t="shared" si="27"/>
        <v>OK</v>
      </c>
      <c r="R127">
        <f t="shared" si="30"/>
        <v>1614.5</v>
      </c>
    </row>
    <row r="128" spans="1:18">
      <c r="A128" s="488" t="s">
        <v>4227</v>
      </c>
      <c r="B128" s="488" t="s">
        <v>4865</v>
      </c>
      <c r="C128" s="488" t="s">
        <v>4144</v>
      </c>
      <c r="D128" s="491" t="s">
        <v>2801</v>
      </c>
      <c r="E128" s="488" t="s">
        <v>2489</v>
      </c>
      <c r="F128" s="488">
        <v>2</v>
      </c>
      <c r="G128" s="497">
        <v>147.93</v>
      </c>
      <c r="H128" s="497">
        <v>11.8</v>
      </c>
      <c r="I128" s="497">
        <v>174.47</v>
      </c>
      <c r="J128" s="497">
        <f t="shared" si="23"/>
        <v>186.27</v>
      </c>
      <c r="K128" s="497">
        <f t="shared" si="24"/>
        <v>23.6</v>
      </c>
      <c r="L128" s="497">
        <f t="shared" si="25"/>
        <v>348.94</v>
      </c>
      <c r="M128" s="497">
        <f t="shared" si="29"/>
        <v>372.54</v>
      </c>
      <c r="N128" s="509">
        <f t="shared" si="28"/>
        <v>2.1812619167548388E-4</v>
      </c>
      <c r="O128" s="528">
        <f t="shared" si="26"/>
        <v>372.54</v>
      </c>
      <c r="P128" s="528" t="str">
        <f t="shared" si="27"/>
        <v>OK</v>
      </c>
      <c r="R128">
        <f t="shared" si="30"/>
        <v>295.86</v>
      </c>
    </row>
    <row r="129" spans="1:18">
      <c r="A129" s="488" t="s">
        <v>4229</v>
      </c>
      <c r="B129" s="488" t="s">
        <v>4866</v>
      </c>
      <c r="C129" s="488" t="s">
        <v>4144</v>
      </c>
      <c r="D129" s="491" t="s">
        <v>3611</v>
      </c>
      <c r="E129" s="488" t="s">
        <v>2489</v>
      </c>
      <c r="F129" s="488">
        <v>18</v>
      </c>
      <c r="G129" s="497">
        <v>108.49</v>
      </c>
      <c r="H129" s="497">
        <v>19.47</v>
      </c>
      <c r="I129" s="497">
        <v>117.14</v>
      </c>
      <c r="J129" s="497">
        <f t="shared" si="23"/>
        <v>136.61000000000001</v>
      </c>
      <c r="K129" s="497">
        <f t="shared" si="24"/>
        <v>350.46</v>
      </c>
      <c r="L129" s="497">
        <f t="shared" si="25"/>
        <v>2108.52</v>
      </c>
      <c r="M129" s="497">
        <f t="shared" si="29"/>
        <v>2458.98</v>
      </c>
      <c r="N129" s="509">
        <f t="shared" si="28"/>
        <v>1.4397593353899752E-3</v>
      </c>
      <c r="O129" s="528">
        <f t="shared" si="26"/>
        <v>2458.98</v>
      </c>
      <c r="P129" s="528" t="str">
        <f t="shared" si="27"/>
        <v>OK</v>
      </c>
      <c r="R129">
        <f t="shared" si="30"/>
        <v>1952.82</v>
      </c>
    </row>
    <row r="130" spans="1:18" ht="26.4">
      <c r="A130" s="488" t="s">
        <v>4663</v>
      </c>
      <c r="B130" s="488" t="s">
        <v>4664</v>
      </c>
      <c r="C130" s="488" t="s">
        <v>4155</v>
      </c>
      <c r="D130" s="491" t="s">
        <v>3383</v>
      </c>
      <c r="E130" s="488" t="s">
        <v>2477</v>
      </c>
      <c r="F130" s="488">
        <v>8</v>
      </c>
      <c r="G130" s="497">
        <v>15.03</v>
      </c>
      <c r="H130" s="497">
        <f>ROUND((3.89*1.2592),2)</f>
        <v>4.9000000000000004</v>
      </c>
      <c r="I130" s="497">
        <f>ROUND((11.14*1.2592),2)</f>
        <v>14.03</v>
      </c>
      <c r="J130" s="497">
        <f t="shared" si="23"/>
        <v>18.93</v>
      </c>
      <c r="K130" s="497">
        <f t="shared" si="24"/>
        <v>39.200000000000003</v>
      </c>
      <c r="L130" s="497">
        <f t="shared" si="25"/>
        <v>112.24</v>
      </c>
      <c r="M130" s="497">
        <f t="shared" si="29"/>
        <v>151.44</v>
      </c>
      <c r="N130" s="509">
        <f t="shared" si="28"/>
        <v>8.866975483796446E-5</v>
      </c>
      <c r="O130" s="528">
        <f t="shared" si="26"/>
        <v>151.44</v>
      </c>
      <c r="P130" s="528" t="str">
        <f t="shared" si="27"/>
        <v>OK</v>
      </c>
      <c r="R130">
        <f t="shared" si="30"/>
        <v>120.24</v>
      </c>
    </row>
    <row r="131" spans="1:18">
      <c r="A131" s="494" t="s">
        <v>4665</v>
      </c>
      <c r="B131" s="494"/>
      <c r="C131" s="494"/>
      <c r="D131" s="490" t="s">
        <v>970</v>
      </c>
      <c r="E131" s="494"/>
      <c r="F131" s="494"/>
      <c r="G131" s="494"/>
      <c r="H131" s="494"/>
      <c r="I131" s="494"/>
      <c r="J131" s="494"/>
      <c r="K131" s="494"/>
      <c r="L131" s="494"/>
      <c r="M131" s="495">
        <f>ROUND((SUM(M132:M156)),2)</f>
        <v>19155.62</v>
      </c>
      <c r="N131" s="496">
        <f t="shared" si="28"/>
        <v>1.1215822300377765E-2</v>
      </c>
      <c r="R131">
        <f t="shared" si="30"/>
        <v>0</v>
      </c>
    </row>
    <row r="132" spans="1:18">
      <c r="A132" s="488" t="s">
        <v>4666</v>
      </c>
      <c r="B132" s="488" t="s">
        <v>4667</v>
      </c>
      <c r="C132" s="488" t="s">
        <v>4475</v>
      </c>
      <c r="D132" s="491" t="s">
        <v>978</v>
      </c>
      <c r="E132" s="488" t="s">
        <v>2489</v>
      </c>
      <c r="F132" s="488">
        <v>20</v>
      </c>
      <c r="G132" s="497">
        <v>17.64</v>
      </c>
      <c r="H132" s="497">
        <v>6.1</v>
      </c>
      <c r="I132" s="497">
        <v>16.11</v>
      </c>
      <c r="J132" s="497">
        <f t="shared" ref="J132:J156" si="31">ROUND(G132 * (1 + 25.92 / 100), 2)</f>
        <v>22.21</v>
      </c>
      <c r="K132" s="497">
        <f t="shared" ref="K132:K156" si="32">ROUND(F132 * H132, 2)</f>
        <v>122</v>
      </c>
      <c r="L132" s="497">
        <f t="shared" ref="L132:L156" si="33">ROUND(F132 * I132, 2)</f>
        <v>322.2</v>
      </c>
      <c r="M132" s="497">
        <f t="shared" ref="M132:M156" si="34">ROUND((K132+L132), 2)</f>
        <v>444.2</v>
      </c>
      <c r="N132" s="509">
        <f t="shared" si="28"/>
        <v>2.6008389526560892E-4</v>
      </c>
      <c r="O132" s="528">
        <f t="shared" ref="O132:O195" si="35">K132+L132</f>
        <v>444.2</v>
      </c>
      <c r="P132" s="528" t="str">
        <f t="shared" ref="P132:P195" si="36">IF(O132=M132,"OK","NÃO")</f>
        <v>OK</v>
      </c>
      <c r="R132">
        <f t="shared" si="30"/>
        <v>352.8</v>
      </c>
    </row>
    <row r="133" spans="1:18">
      <c r="A133" s="488" t="s">
        <v>4668</v>
      </c>
      <c r="B133" s="488" t="s">
        <v>4669</v>
      </c>
      <c r="C133" s="488" t="s">
        <v>4475</v>
      </c>
      <c r="D133" s="491" t="s">
        <v>999</v>
      </c>
      <c r="E133" s="488" t="s">
        <v>2489</v>
      </c>
      <c r="F133" s="488">
        <v>36</v>
      </c>
      <c r="G133" s="497">
        <v>11.47</v>
      </c>
      <c r="H133" s="497">
        <v>10.17</v>
      </c>
      <c r="I133" s="497">
        <v>4.2699999999999996</v>
      </c>
      <c r="J133" s="497">
        <f t="shared" si="31"/>
        <v>14.44</v>
      </c>
      <c r="K133" s="497">
        <f t="shared" si="32"/>
        <v>366.12</v>
      </c>
      <c r="L133" s="497">
        <f t="shared" si="33"/>
        <v>153.72</v>
      </c>
      <c r="M133" s="497">
        <f t="shared" si="34"/>
        <v>519.84</v>
      </c>
      <c r="N133" s="509">
        <f t="shared" si="28"/>
        <v>3.0437193182096837E-4</v>
      </c>
      <c r="O133" s="528">
        <f t="shared" si="35"/>
        <v>519.84</v>
      </c>
      <c r="P133" s="528" t="str">
        <f t="shared" si="36"/>
        <v>OK</v>
      </c>
      <c r="R133">
        <f t="shared" si="30"/>
        <v>412.92</v>
      </c>
    </row>
    <row r="134" spans="1:18">
      <c r="A134" s="488" t="s">
        <v>4232</v>
      </c>
      <c r="B134" s="488" t="s">
        <v>4867</v>
      </c>
      <c r="C134" s="488" t="s">
        <v>4144</v>
      </c>
      <c r="D134" s="491" t="s">
        <v>3273</v>
      </c>
      <c r="E134" s="488" t="s">
        <v>2489</v>
      </c>
      <c r="F134" s="488">
        <v>20</v>
      </c>
      <c r="G134" s="497">
        <v>125.23</v>
      </c>
      <c r="H134" s="497">
        <v>40.65</v>
      </c>
      <c r="I134" s="497">
        <v>117.04</v>
      </c>
      <c r="J134" s="497">
        <f t="shared" si="31"/>
        <v>157.69</v>
      </c>
      <c r="K134" s="497">
        <f t="shared" si="32"/>
        <v>813</v>
      </c>
      <c r="L134" s="497">
        <f t="shared" si="33"/>
        <v>2340.8000000000002</v>
      </c>
      <c r="M134" s="497">
        <f t="shared" si="34"/>
        <v>3153.8</v>
      </c>
      <c r="N134" s="509">
        <f t="shared" si="28"/>
        <v>1.8465839461699175E-3</v>
      </c>
      <c r="O134" s="528">
        <f t="shared" si="35"/>
        <v>3153.8</v>
      </c>
      <c r="P134" s="528" t="str">
        <f t="shared" si="36"/>
        <v>OK</v>
      </c>
      <c r="R134">
        <f t="shared" si="30"/>
        <v>2504.6</v>
      </c>
    </row>
    <row r="135" spans="1:18">
      <c r="A135" s="488" t="s">
        <v>4236</v>
      </c>
      <c r="B135" s="488" t="s">
        <v>4868</v>
      </c>
      <c r="C135" s="488" t="s">
        <v>4144</v>
      </c>
      <c r="D135" s="491" t="s">
        <v>3291</v>
      </c>
      <c r="E135" s="488" t="s">
        <v>2489</v>
      </c>
      <c r="F135" s="488">
        <v>20</v>
      </c>
      <c r="G135" s="497">
        <v>103.56</v>
      </c>
      <c r="H135" s="497">
        <v>9.1199999999999992</v>
      </c>
      <c r="I135" s="497">
        <v>121.28</v>
      </c>
      <c r="J135" s="497">
        <f t="shared" si="31"/>
        <v>130.4</v>
      </c>
      <c r="K135" s="497">
        <f t="shared" si="32"/>
        <v>182.4</v>
      </c>
      <c r="L135" s="497">
        <f t="shared" si="33"/>
        <v>2425.6</v>
      </c>
      <c r="M135" s="497">
        <f t="shared" si="34"/>
        <v>2608</v>
      </c>
      <c r="N135" s="509">
        <f t="shared" si="28"/>
        <v>1.5270121541033498E-3</v>
      </c>
      <c r="O135" s="528">
        <f t="shared" si="35"/>
        <v>2608</v>
      </c>
      <c r="P135" s="528" t="str">
        <f t="shared" si="36"/>
        <v>OK</v>
      </c>
      <c r="R135">
        <f t="shared" si="30"/>
        <v>2071.1999999999998</v>
      </c>
    </row>
    <row r="136" spans="1:18">
      <c r="A136" s="488" t="s">
        <v>4670</v>
      </c>
      <c r="B136" s="488" t="s">
        <v>4671</v>
      </c>
      <c r="C136" s="488" t="s">
        <v>4475</v>
      </c>
      <c r="D136" s="491" t="s">
        <v>1002</v>
      </c>
      <c r="E136" s="488" t="s">
        <v>2489</v>
      </c>
      <c r="F136" s="488">
        <v>17</v>
      </c>
      <c r="G136" s="497">
        <v>23.55</v>
      </c>
      <c r="H136" s="497">
        <v>14.64</v>
      </c>
      <c r="I136" s="497">
        <v>15.01</v>
      </c>
      <c r="J136" s="497">
        <f t="shared" si="31"/>
        <v>29.65</v>
      </c>
      <c r="K136" s="497">
        <f t="shared" si="32"/>
        <v>248.88</v>
      </c>
      <c r="L136" s="497">
        <f t="shared" si="33"/>
        <v>255.17</v>
      </c>
      <c r="M136" s="497">
        <f t="shared" si="34"/>
        <v>504.05</v>
      </c>
      <c r="N136" s="509">
        <f t="shared" si="28"/>
        <v>2.9512671636341774E-4</v>
      </c>
      <c r="O136" s="528">
        <f t="shared" si="35"/>
        <v>504.04999999999995</v>
      </c>
      <c r="P136" s="528" t="str">
        <f t="shared" si="36"/>
        <v>OK</v>
      </c>
      <c r="R136">
        <f t="shared" si="30"/>
        <v>400.35</v>
      </c>
    </row>
    <row r="137" spans="1:18" ht="26.4">
      <c r="A137" s="488" t="s">
        <v>4672</v>
      </c>
      <c r="B137" s="488" t="s">
        <v>4673</v>
      </c>
      <c r="C137" s="488" t="s">
        <v>4475</v>
      </c>
      <c r="D137" s="491" t="s">
        <v>1006</v>
      </c>
      <c r="E137" s="488" t="s">
        <v>2488</v>
      </c>
      <c r="F137" s="488">
        <v>16</v>
      </c>
      <c r="G137" s="497">
        <v>129.53</v>
      </c>
      <c r="H137" s="497">
        <v>8.1199999999999992</v>
      </c>
      <c r="I137" s="497">
        <v>154.97999999999999</v>
      </c>
      <c r="J137" s="497">
        <f t="shared" si="31"/>
        <v>163.1</v>
      </c>
      <c r="K137" s="497">
        <f t="shared" si="32"/>
        <v>129.91999999999999</v>
      </c>
      <c r="L137" s="497">
        <f t="shared" si="33"/>
        <v>2479.6799999999998</v>
      </c>
      <c r="M137" s="497">
        <f t="shared" si="34"/>
        <v>2609.6</v>
      </c>
      <c r="N137" s="509">
        <f t="shared" si="28"/>
        <v>1.5279489713758059E-3</v>
      </c>
      <c r="O137" s="528">
        <f t="shared" si="35"/>
        <v>2609.6</v>
      </c>
      <c r="P137" s="528" t="str">
        <f t="shared" si="36"/>
        <v>OK</v>
      </c>
      <c r="R137">
        <f t="shared" si="30"/>
        <v>2072.48</v>
      </c>
    </row>
    <row r="138" spans="1:18">
      <c r="A138" s="488" t="s">
        <v>4674</v>
      </c>
      <c r="B138" s="488" t="s">
        <v>4675</v>
      </c>
      <c r="C138" s="488" t="s">
        <v>4475</v>
      </c>
      <c r="D138" s="491" t="s">
        <v>1008</v>
      </c>
      <c r="E138" s="488" t="s">
        <v>2489</v>
      </c>
      <c r="F138" s="488">
        <v>17</v>
      </c>
      <c r="G138" s="497">
        <v>79.5</v>
      </c>
      <c r="H138" s="497">
        <v>6.1</v>
      </c>
      <c r="I138" s="497">
        <v>94.01</v>
      </c>
      <c r="J138" s="497">
        <f t="shared" si="31"/>
        <v>100.11</v>
      </c>
      <c r="K138" s="497">
        <f t="shared" si="32"/>
        <v>103.7</v>
      </c>
      <c r="L138" s="497">
        <f t="shared" si="33"/>
        <v>1598.17</v>
      </c>
      <c r="M138" s="497">
        <f t="shared" si="34"/>
        <v>1701.87</v>
      </c>
      <c r="N138" s="509">
        <f t="shared" si="28"/>
        <v>9.9646325717172852E-4</v>
      </c>
      <c r="O138" s="528">
        <f t="shared" si="35"/>
        <v>1701.8700000000001</v>
      </c>
      <c r="P138" s="528" t="str">
        <f t="shared" si="36"/>
        <v>OK</v>
      </c>
      <c r="R138">
        <f t="shared" si="30"/>
        <v>1351.5</v>
      </c>
    </row>
    <row r="139" spans="1:18" ht="26.4">
      <c r="A139" s="488" t="s">
        <v>4676</v>
      </c>
      <c r="B139" s="488" t="s">
        <v>4677</v>
      </c>
      <c r="C139" s="488" t="s">
        <v>4475</v>
      </c>
      <c r="D139" s="491" t="s">
        <v>1016</v>
      </c>
      <c r="E139" s="488" t="s">
        <v>2489</v>
      </c>
      <c r="F139" s="488">
        <v>8</v>
      </c>
      <c r="G139" s="497">
        <v>315.63</v>
      </c>
      <c r="H139" s="497">
        <v>24.79</v>
      </c>
      <c r="I139" s="497">
        <v>372.65</v>
      </c>
      <c r="J139" s="497">
        <f t="shared" si="31"/>
        <v>397.44</v>
      </c>
      <c r="K139" s="497">
        <f t="shared" si="32"/>
        <v>198.32</v>
      </c>
      <c r="L139" s="497">
        <f t="shared" si="33"/>
        <v>2981.2</v>
      </c>
      <c r="M139" s="497">
        <f t="shared" si="34"/>
        <v>3179.52</v>
      </c>
      <c r="N139" s="509">
        <f t="shared" si="28"/>
        <v>1.8616432838246483E-3</v>
      </c>
      <c r="O139" s="528">
        <f t="shared" si="35"/>
        <v>3179.52</v>
      </c>
      <c r="P139" s="528" t="str">
        <f t="shared" si="36"/>
        <v>OK</v>
      </c>
      <c r="R139">
        <f t="shared" si="30"/>
        <v>2525.04</v>
      </c>
    </row>
    <row r="140" spans="1:18" ht="26.4">
      <c r="A140" s="488" t="s">
        <v>4678</v>
      </c>
      <c r="B140" s="488" t="s">
        <v>4679</v>
      </c>
      <c r="C140" s="488" t="s">
        <v>4475</v>
      </c>
      <c r="D140" s="491" t="s">
        <v>1047</v>
      </c>
      <c r="E140" s="488" t="s">
        <v>2489</v>
      </c>
      <c r="F140" s="488">
        <v>1</v>
      </c>
      <c r="G140" s="497">
        <v>89.14</v>
      </c>
      <c r="H140" s="497">
        <v>8.1199999999999992</v>
      </c>
      <c r="I140" s="497">
        <v>104.13</v>
      </c>
      <c r="J140" s="497">
        <f t="shared" si="31"/>
        <v>112.25</v>
      </c>
      <c r="K140" s="497">
        <f t="shared" si="32"/>
        <v>8.1199999999999992</v>
      </c>
      <c r="L140" s="497">
        <f t="shared" si="33"/>
        <v>104.13</v>
      </c>
      <c r="M140" s="497">
        <f t="shared" si="34"/>
        <v>112.25</v>
      </c>
      <c r="N140" s="509">
        <f t="shared" si="28"/>
        <v>6.5723586770744251E-5</v>
      </c>
      <c r="O140" s="528">
        <f t="shared" si="35"/>
        <v>112.25</v>
      </c>
      <c r="P140" s="528" t="str">
        <f t="shared" si="36"/>
        <v>OK</v>
      </c>
      <c r="R140">
        <f t="shared" si="30"/>
        <v>89.14</v>
      </c>
    </row>
    <row r="141" spans="1:18" ht="26.4">
      <c r="A141" s="488" t="s">
        <v>4680</v>
      </c>
      <c r="B141" s="488" t="s">
        <v>4681</v>
      </c>
      <c r="C141" s="488" t="s">
        <v>4475</v>
      </c>
      <c r="D141" s="491" t="s">
        <v>1048</v>
      </c>
      <c r="E141" s="488" t="s">
        <v>2489</v>
      </c>
      <c r="F141" s="488">
        <v>3</v>
      </c>
      <c r="G141" s="497">
        <v>53.92</v>
      </c>
      <c r="H141" s="497">
        <v>8.1199999999999992</v>
      </c>
      <c r="I141" s="497">
        <v>59.78</v>
      </c>
      <c r="J141" s="497">
        <f t="shared" si="31"/>
        <v>67.900000000000006</v>
      </c>
      <c r="K141" s="497">
        <f t="shared" si="32"/>
        <v>24.36</v>
      </c>
      <c r="L141" s="497">
        <f t="shared" si="33"/>
        <v>179.34</v>
      </c>
      <c r="M141" s="497">
        <f t="shared" si="34"/>
        <v>203.7</v>
      </c>
      <c r="N141" s="509">
        <f t="shared" si="28"/>
        <v>1.1926854899955995E-4</v>
      </c>
      <c r="O141" s="528">
        <f t="shared" si="35"/>
        <v>203.7</v>
      </c>
      <c r="P141" s="528" t="str">
        <f t="shared" si="36"/>
        <v>OK</v>
      </c>
      <c r="R141">
        <f t="shared" si="30"/>
        <v>161.76</v>
      </c>
    </row>
    <row r="142" spans="1:18">
      <c r="A142" s="488" t="s">
        <v>4682</v>
      </c>
      <c r="B142" s="488" t="s">
        <v>4683</v>
      </c>
      <c r="C142" s="488" t="s">
        <v>4475</v>
      </c>
      <c r="D142" s="491" t="s">
        <v>1084</v>
      </c>
      <c r="E142" s="488" t="s">
        <v>2487</v>
      </c>
      <c r="F142" s="488">
        <v>2</v>
      </c>
      <c r="G142" s="497">
        <v>8.0399999999999991</v>
      </c>
      <c r="H142" s="497">
        <v>4.87</v>
      </c>
      <c r="I142" s="497">
        <v>5.25</v>
      </c>
      <c r="J142" s="497">
        <f t="shared" si="31"/>
        <v>10.119999999999999</v>
      </c>
      <c r="K142" s="497">
        <f t="shared" si="32"/>
        <v>9.74</v>
      </c>
      <c r="L142" s="497">
        <f t="shared" si="33"/>
        <v>10.5</v>
      </c>
      <c r="M142" s="497">
        <f t="shared" si="34"/>
        <v>20.239999999999998</v>
      </c>
      <c r="N142" s="509">
        <f t="shared" si="28"/>
        <v>1.1850738496568941E-5</v>
      </c>
      <c r="O142" s="528">
        <f t="shared" si="35"/>
        <v>20.240000000000002</v>
      </c>
      <c r="P142" s="528" t="str">
        <f t="shared" si="36"/>
        <v>OK</v>
      </c>
      <c r="R142">
        <f t="shared" si="30"/>
        <v>16.079999999999998</v>
      </c>
    </row>
    <row r="143" spans="1:18">
      <c r="A143" s="488" t="s">
        <v>4684</v>
      </c>
      <c r="B143" s="488" t="s">
        <v>4685</v>
      </c>
      <c r="C143" s="488" t="s">
        <v>4475</v>
      </c>
      <c r="D143" s="491" t="s">
        <v>1116</v>
      </c>
      <c r="E143" s="488" t="s">
        <v>2489</v>
      </c>
      <c r="F143" s="488">
        <v>4</v>
      </c>
      <c r="G143" s="497">
        <v>3.89</v>
      </c>
      <c r="H143" s="497">
        <v>3.65</v>
      </c>
      <c r="I143" s="497">
        <v>1.25</v>
      </c>
      <c r="J143" s="497">
        <f t="shared" si="31"/>
        <v>4.9000000000000004</v>
      </c>
      <c r="K143" s="497">
        <f t="shared" si="32"/>
        <v>14.6</v>
      </c>
      <c r="L143" s="497">
        <f t="shared" si="33"/>
        <v>5</v>
      </c>
      <c r="M143" s="497">
        <f t="shared" si="34"/>
        <v>19.600000000000001</v>
      </c>
      <c r="N143" s="509">
        <f t="shared" si="28"/>
        <v>1.1476011587586525E-5</v>
      </c>
      <c r="O143" s="528">
        <f t="shared" si="35"/>
        <v>19.600000000000001</v>
      </c>
      <c r="P143" s="528" t="str">
        <f t="shared" si="36"/>
        <v>OK</v>
      </c>
      <c r="R143">
        <f t="shared" si="30"/>
        <v>15.56</v>
      </c>
    </row>
    <row r="144" spans="1:18">
      <c r="A144" s="488" t="s">
        <v>4686</v>
      </c>
      <c r="B144" s="488" t="s">
        <v>4687</v>
      </c>
      <c r="C144" s="488" t="s">
        <v>4475</v>
      </c>
      <c r="D144" s="491" t="s">
        <v>1192</v>
      </c>
      <c r="E144" s="488" t="s">
        <v>2489</v>
      </c>
      <c r="F144" s="488">
        <v>2</v>
      </c>
      <c r="G144" s="497">
        <v>6.66</v>
      </c>
      <c r="H144" s="497">
        <v>7.32</v>
      </c>
      <c r="I144" s="497">
        <v>1.07</v>
      </c>
      <c r="J144" s="497">
        <f t="shared" si="31"/>
        <v>8.39</v>
      </c>
      <c r="K144" s="497">
        <f t="shared" si="32"/>
        <v>14.64</v>
      </c>
      <c r="L144" s="497">
        <f t="shared" si="33"/>
        <v>2.14</v>
      </c>
      <c r="M144" s="497">
        <f t="shared" si="34"/>
        <v>16.78</v>
      </c>
      <c r="N144" s="509">
        <f t="shared" si="28"/>
        <v>9.8248711448827499E-6</v>
      </c>
      <c r="O144" s="528">
        <f t="shared" si="35"/>
        <v>16.78</v>
      </c>
      <c r="P144" s="528" t="str">
        <f t="shared" si="36"/>
        <v>OK</v>
      </c>
      <c r="R144">
        <f t="shared" si="30"/>
        <v>13.32</v>
      </c>
    </row>
    <row r="145" spans="1:18">
      <c r="A145" s="488" t="s">
        <v>4688</v>
      </c>
      <c r="B145" s="488" t="s">
        <v>4689</v>
      </c>
      <c r="C145" s="488" t="s">
        <v>4475</v>
      </c>
      <c r="D145" s="491" t="s">
        <v>1225</v>
      </c>
      <c r="E145" s="488" t="s">
        <v>2489</v>
      </c>
      <c r="F145" s="488">
        <v>14</v>
      </c>
      <c r="G145" s="497">
        <v>9.25</v>
      </c>
      <c r="H145" s="497">
        <v>7.72</v>
      </c>
      <c r="I145" s="497">
        <v>3.93</v>
      </c>
      <c r="J145" s="497">
        <f t="shared" si="31"/>
        <v>11.65</v>
      </c>
      <c r="K145" s="497">
        <f t="shared" si="32"/>
        <v>108.08</v>
      </c>
      <c r="L145" s="497">
        <f t="shared" si="33"/>
        <v>55.02</v>
      </c>
      <c r="M145" s="497">
        <f t="shared" si="34"/>
        <v>163.1</v>
      </c>
      <c r="N145" s="509">
        <f t="shared" si="28"/>
        <v>9.5496810710987866E-5</v>
      </c>
      <c r="O145" s="528">
        <f t="shared" si="35"/>
        <v>163.1</v>
      </c>
      <c r="P145" s="528" t="str">
        <f t="shared" si="36"/>
        <v>OK</v>
      </c>
      <c r="R145">
        <f t="shared" si="30"/>
        <v>129.5</v>
      </c>
    </row>
    <row r="146" spans="1:18">
      <c r="A146" s="488" t="s">
        <v>4690</v>
      </c>
      <c r="B146" s="488" t="s">
        <v>4691</v>
      </c>
      <c r="C146" s="488" t="s">
        <v>4475</v>
      </c>
      <c r="D146" s="491" t="s">
        <v>1300</v>
      </c>
      <c r="E146" s="488" t="s">
        <v>2489</v>
      </c>
      <c r="F146" s="488">
        <v>17</v>
      </c>
      <c r="G146" s="497">
        <v>28.06</v>
      </c>
      <c r="H146" s="497">
        <v>3.25</v>
      </c>
      <c r="I146" s="497">
        <v>32.08</v>
      </c>
      <c r="J146" s="497">
        <f t="shared" si="31"/>
        <v>35.33</v>
      </c>
      <c r="K146" s="497">
        <f t="shared" si="32"/>
        <v>55.25</v>
      </c>
      <c r="L146" s="497">
        <f t="shared" si="33"/>
        <v>545.36</v>
      </c>
      <c r="M146" s="497">
        <f t="shared" si="34"/>
        <v>600.61</v>
      </c>
      <c r="N146" s="509">
        <f t="shared" si="28"/>
        <v>3.5166363875613994E-4</v>
      </c>
      <c r="O146" s="528">
        <f t="shared" si="35"/>
        <v>600.61</v>
      </c>
      <c r="P146" s="528" t="str">
        <f t="shared" si="36"/>
        <v>OK</v>
      </c>
      <c r="R146">
        <f t="shared" si="30"/>
        <v>477.02</v>
      </c>
    </row>
    <row r="147" spans="1:18" ht="26.4">
      <c r="A147" s="488" t="s">
        <v>4692</v>
      </c>
      <c r="B147" s="488" t="s">
        <v>4693</v>
      </c>
      <c r="C147" s="488" t="s">
        <v>4475</v>
      </c>
      <c r="D147" s="491" t="s">
        <v>1392</v>
      </c>
      <c r="E147" s="488" t="s">
        <v>2489</v>
      </c>
      <c r="F147" s="488">
        <v>5</v>
      </c>
      <c r="G147" s="497">
        <v>14.66</v>
      </c>
      <c r="H147" s="497">
        <v>4.07</v>
      </c>
      <c r="I147" s="497">
        <v>14.39</v>
      </c>
      <c r="J147" s="497">
        <f t="shared" si="31"/>
        <v>18.46</v>
      </c>
      <c r="K147" s="497">
        <f t="shared" si="32"/>
        <v>20.350000000000001</v>
      </c>
      <c r="L147" s="497">
        <f t="shared" si="33"/>
        <v>71.95</v>
      </c>
      <c r="M147" s="497">
        <f t="shared" si="34"/>
        <v>92.3</v>
      </c>
      <c r="N147" s="509">
        <f t="shared" si="28"/>
        <v>5.4042646404807971E-5</v>
      </c>
      <c r="O147" s="528">
        <f t="shared" si="35"/>
        <v>92.300000000000011</v>
      </c>
      <c r="P147" s="528" t="str">
        <f t="shared" si="36"/>
        <v>OK</v>
      </c>
      <c r="R147">
        <f t="shared" si="30"/>
        <v>73.3</v>
      </c>
    </row>
    <row r="148" spans="1:18">
      <c r="A148" s="488" t="s">
        <v>4240</v>
      </c>
      <c r="B148" s="488" t="s">
        <v>4869</v>
      </c>
      <c r="C148" s="488" t="s">
        <v>4144</v>
      </c>
      <c r="D148" s="491" t="s">
        <v>2896</v>
      </c>
      <c r="E148" s="488" t="s">
        <v>2489</v>
      </c>
      <c r="F148" s="488">
        <v>16</v>
      </c>
      <c r="G148" s="497">
        <v>27.76</v>
      </c>
      <c r="H148" s="497">
        <v>21.95</v>
      </c>
      <c r="I148" s="497">
        <v>13.01</v>
      </c>
      <c r="J148" s="497">
        <f t="shared" si="31"/>
        <v>34.96</v>
      </c>
      <c r="K148" s="497">
        <f t="shared" si="32"/>
        <v>351.2</v>
      </c>
      <c r="L148" s="497">
        <f t="shared" si="33"/>
        <v>208.16</v>
      </c>
      <c r="M148" s="497">
        <f t="shared" si="34"/>
        <v>559.36</v>
      </c>
      <c r="N148" s="509">
        <f t="shared" si="28"/>
        <v>3.2751131845063262E-4</v>
      </c>
      <c r="O148" s="528">
        <f t="shared" si="35"/>
        <v>559.36</v>
      </c>
      <c r="P148" s="528" t="str">
        <f t="shared" si="36"/>
        <v>OK</v>
      </c>
      <c r="R148">
        <f t="shared" si="30"/>
        <v>444.16</v>
      </c>
    </row>
    <row r="149" spans="1:18" ht="26.4">
      <c r="A149" s="488" t="s">
        <v>4694</v>
      </c>
      <c r="B149" s="488" t="s">
        <v>4695</v>
      </c>
      <c r="C149" s="488" t="s">
        <v>4155</v>
      </c>
      <c r="D149" s="491" t="s">
        <v>4696</v>
      </c>
      <c r="E149" s="488" t="s">
        <v>2477</v>
      </c>
      <c r="F149" s="488">
        <v>2</v>
      </c>
      <c r="G149" s="497">
        <v>17.97</v>
      </c>
      <c r="H149" s="497">
        <f>ROUND((2.56*1.2592),2)</f>
        <v>3.22</v>
      </c>
      <c r="I149" s="497">
        <f>ROUND((15.41*1.2592),2)</f>
        <v>19.399999999999999</v>
      </c>
      <c r="J149" s="497">
        <f t="shared" si="31"/>
        <v>22.63</v>
      </c>
      <c r="K149" s="497">
        <f t="shared" si="32"/>
        <v>6.44</v>
      </c>
      <c r="L149" s="497">
        <f t="shared" si="33"/>
        <v>38.799999999999997</v>
      </c>
      <c r="M149" s="497">
        <f t="shared" si="34"/>
        <v>45.24</v>
      </c>
      <c r="N149" s="509">
        <f t="shared" si="28"/>
        <v>2.6488508378694615E-5</v>
      </c>
      <c r="O149" s="528">
        <f t="shared" si="35"/>
        <v>45.239999999999995</v>
      </c>
      <c r="P149" s="528" t="str">
        <f t="shared" si="36"/>
        <v>OK</v>
      </c>
      <c r="R149">
        <f t="shared" si="30"/>
        <v>35.94</v>
      </c>
    </row>
    <row r="150" spans="1:18">
      <c r="A150" s="488" t="s">
        <v>4242</v>
      </c>
      <c r="B150" s="488" t="s">
        <v>4870</v>
      </c>
      <c r="C150" s="488" t="s">
        <v>4144</v>
      </c>
      <c r="D150" s="491" t="s">
        <v>4243</v>
      </c>
      <c r="E150" s="488" t="s">
        <v>2489</v>
      </c>
      <c r="F150" s="488">
        <v>16</v>
      </c>
      <c r="G150" s="497">
        <v>4.7300000000000004</v>
      </c>
      <c r="H150" s="497">
        <v>3.65</v>
      </c>
      <c r="I150" s="497">
        <v>2.31</v>
      </c>
      <c r="J150" s="497">
        <f t="shared" si="31"/>
        <v>5.96</v>
      </c>
      <c r="K150" s="497">
        <f t="shared" si="32"/>
        <v>58.4</v>
      </c>
      <c r="L150" s="497">
        <f t="shared" si="33"/>
        <v>36.96</v>
      </c>
      <c r="M150" s="497">
        <f t="shared" si="34"/>
        <v>95.36</v>
      </c>
      <c r="N150" s="509">
        <f t="shared" ref="N150:N213" si="37">M150 / $L$274</f>
        <v>5.5834309438380153E-5</v>
      </c>
      <c r="O150" s="528">
        <f t="shared" si="35"/>
        <v>95.36</v>
      </c>
      <c r="P150" s="528" t="str">
        <f t="shared" si="36"/>
        <v>OK</v>
      </c>
      <c r="R150">
        <f t="shared" si="30"/>
        <v>75.680000000000007</v>
      </c>
    </row>
    <row r="151" spans="1:18">
      <c r="A151" s="488" t="s">
        <v>4246</v>
      </c>
      <c r="B151" s="488" t="s">
        <v>4871</v>
      </c>
      <c r="C151" s="488" t="s">
        <v>4144</v>
      </c>
      <c r="D151" s="491" t="s">
        <v>2905</v>
      </c>
      <c r="E151" s="488" t="s">
        <v>2489</v>
      </c>
      <c r="F151" s="488">
        <v>16</v>
      </c>
      <c r="G151" s="497">
        <v>4.4400000000000004</v>
      </c>
      <c r="H151" s="497">
        <v>3.65</v>
      </c>
      <c r="I151" s="497">
        <v>1.94</v>
      </c>
      <c r="J151" s="497">
        <f t="shared" si="31"/>
        <v>5.59</v>
      </c>
      <c r="K151" s="497">
        <f t="shared" si="32"/>
        <v>58.4</v>
      </c>
      <c r="L151" s="497">
        <f t="shared" si="33"/>
        <v>31.04</v>
      </c>
      <c r="M151" s="497">
        <f t="shared" si="34"/>
        <v>89.44</v>
      </c>
      <c r="N151" s="509">
        <f t="shared" si="37"/>
        <v>5.2368085530292793E-5</v>
      </c>
      <c r="O151" s="528">
        <f t="shared" si="35"/>
        <v>89.44</v>
      </c>
      <c r="P151" s="528" t="str">
        <f t="shared" si="36"/>
        <v>OK</v>
      </c>
      <c r="R151">
        <f t="shared" ref="R151:R214" si="38">ROUND((F151*G151),2)</f>
        <v>71.040000000000006</v>
      </c>
    </row>
    <row r="152" spans="1:18">
      <c r="A152" s="488" t="s">
        <v>4247</v>
      </c>
      <c r="B152" s="488" t="s">
        <v>4872</v>
      </c>
      <c r="C152" s="488" t="s">
        <v>4144</v>
      </c>
      <c r="D152" s="491" t="s">
        <v>2909</v>
      </c>
      <c r="E152" s="488" t="s">
        <v>2489</v>
      </c>
      <c r="F152" s="488">
        <v>16</v>
      </c>
      <c r="G152" s="497">
        <v>3.66</v>
      </c>
      <c r="H152" s="497">
        <v>3.65</v>
      </c>
      <c r="I152" s="497">
        <v>0.96</v>
      </c>
      <c r="J152" s="497">
        <f t="shared" si="31"/>
        <v>4.6100000000000003</v>
      </c>
      <c r="K152" s="497">
        <f t="shared" si="32"/>
        <v>58.4</v>
      </c>
      <c r="L152" s="497">
        <f t="shared" si="33"/>
        <v>15.36</v>
      </c>
      <c r="M152" s="497">
        <f t="shared" si="34"/>
        <v>73.760000000000005</v>
      </c>
      <c r="N152" s="509">
        <f t="shared" si="37"/>
        <v>4.3187276260223578E-5</v>
      </c>
      <c r="O152" s="528">
        <f t="shared" si="35"/>
        <v>73.759999999999991</v>
      </c>
      <c r="P152" s="528" t="str">
        <f t="shared" si="36"/>
        <v>OK</v>
      </c>
      <c r="R152">
        <f t="shared" si="38"/>
        <v>58.56</v>
      </c>
    </row>
    <row r="153" spans="1:18">
      <c r="A153" s="488" t="s">
        <v>4248</v>
      </c>
      <c r="B153" s="488" t="s">
        <v>4873</v>
      </c>
      <c r="C153" s="488" t="s">
        <v>4144</v>
      </c>
      <c r="D153" s="491" t="s">
        <v>3955</v>
      </c>
      <c r="E153" s="488" t="s">
        <v>2487</v>
      </c>
      <c r="F153" s="488">
        <v>4.7699999999999996</v>
      </c>
      <c r="G153" s="497">
        <v>11.81</v>
      </c>
      <c r="H153" s="497">
        <v>9.75</v>
      </c>
      <c r="I153" s="497">
        <v>5.12</v>
      </c>
      <c r="J153" s="497">
        <f t="shared" si="31"/>
        <v>14.87</v>
      </c>
      <c r="K153" s="497">
        <f t="shared" si="32"/>
        <v>46.51</v>
      </c>
      <c r="L153" s="497">
        <f t="shared" si="33"/>
        <v>24.42</v>
      </c>
      <c r="M153" s="497">
        <f t="shared" si="34"/>
        <v>70.930000000000007</v>
      </c>
      <c r="N153" s="509">
        <f t="shared" si="37"/>
        <v>4.1530280709566957E-5</v>
      </c>
      <c r="O153" s="528">
        <f t="shared" si="35"/>
        <v>70.930000000000007</v>
      </c>
      <c r="P153" s="528" t="str">
        <f t="shared" si="36"/>
        <v>OK</v>
      </c>
      <c r="R153">
        <f t="shared" si="38"/>
        <v>56.33</v>
      </c>
    </row>
    <row r="154" spans="1:18">
      <c r="A154" s="488" t="s">
        <v>4251</v>
      </c>
      <c r="B154" s="488" t="s">
        <v>4874</v>
      </c>
      <c r="C154" s="488" t="s">
        <v>4144</v>
      </c>
      <c r="D154" s="491" t="s">
        <v>2913</v>
      </c>
      <c r="E154" s="488" t="s">
        <v>2487</v>
      </c>
      <c r="F154" s="488">
        <v>23.66</v>
      </c>
      <c r="G154" s="497">
        <v>3.05</v>
      </c>
      <c r="H154" s="497">
        <v>1.64</v>
      </c>
      <c r="I154" s="497">
        <v>2.2000000000000002</v>
      </c>
      <c r="J154" s="497">
        <f t="shared" si="31"/>
        <v>3.84</v>
      </c>
      <c r="K154" s="497">
        <f t="shared" si="32"/>
        <v>38.799999999999997</v>
      </c>
      <c r="L154" s="497">
        <f t="shared" si="33"/>
        <v>52.05</v>
      </c>
      <c r="M154" s="497">
        <f t="shared" si="34"/>
        <v>90.85</v>
      </c>
      <c r="N154" s="509">
        <f t="shared" si="37"/>
        <v>5.319365575164468E-5</v>
      </c>
      <c r="O154" s="528">
        <f t="shared" si="35"/>
        <v>90.85</v>
      </c>
      <c r="P154" s="528" t="str">
        <f t="shared" si="36"/>
        <v>OK</v>
      </c>
      <c r="R154">
        <f t="shared" si="38"/>
        <v>72.16</v>
      </c>
    </row>
    <row r="155" spans="1:18">
      <c r="A155" s="488" t="s">
        <v>4253</v>
      </c>
      <c r="B155" s="488" t="s">
        <v>4875</v>
      </c>
      <c r="C155" s="488" t="s">
        <v>4144</v>
      </c>
      <c r="D155" s="491" t="s">
        <v>4254</v>
      </c>
      <c r="E155" s="488" t="s">
        <v>2489</v>
      </c>
      <c r="F155" s="488">
        <v>192</v>
      </c>
      <c r="G155" s="497">
        <v>2.41</v>
      </c>
      <c r="H155" s="497">
        <v>1.64</v>
      </c>
      <c r="I155" s="497">
        <v>1.39</v>
      </c>
      <c r="J155" s="497">
        <f t="shared" si="31"/>
        <v>3.03</v>
      </c>
      <c r="K155" s="497">
        <f t="shared" si="32"/>
        <v>314.88</v>
      </c>
      <c r="L155" s="497">
        <f t="shared" si="33"/>
        <v>266.88</v>
      </c>
      <c r="M155" s="497">
        <f t="shared" si="34"/>
        <v>581.76</v>
      </c>
      <c r="N155" s="509">
        <f t="shared" si="37"/>
        <v>3.4062676026501719E-4</v>
      </c>
      <c r="O155" s="528">
        <f t="shared" si="35"/>
        <v>581.76</v>
      </c>
      <c r="P155" s="528" t="str">
        <f t="shared" si="36"/>
        <v>OK</v>
      </c>
      <c r="R155">
        <f t="shared" si="38"/>
        <v>462.72</v>
      </c>
    </row>
    <row r="156" spans="1:18">
      <c r="A156" s="488" t="s">
        <v>4255</v>
      </c>
      <c r="B156" s="488" t="s">
        <v>4876</v>
      </c>
      <c r="C156" s="488" t="s">
        <v>4144</v>
      </c>
      <c r="D156" s="491" t="s">
        <v>4256</v>
      </c>
      <c r="E156" s="488" t="s">
        <v>2489</v>
      </c>
      <c r="F156" s="488">
        <v>2</v>
      </c>
      <c r="G156" s="497">
        <v>635.11</v>
      </c>
      <c r="H156" s="497">
        <v>12.2</v>
      </c>
      <c r="I156" s="497">
        <v>787.53</v>
      </c>
      <c r="J156" s="497">
        <f t="shared" si="31"/>
        <v>799.73</v>
      </c>
      <c r="K156" s="497">
        <f t="shared" si="32"/>
        <v>24.4</v>
      </c>
      <c r="L156" s="497">
        <f t="shared" si="33"/>
        <v>1575.06</v>
      </c>
      <c r="M156" s="497">
        <f t="shared" si="34"/>
        <v>1599.46</v>
      </c>
      <c r="N156" s="509">
        <f t="shared" si="37"/>
        <v>9.3650109662658896E-4</v>
      </c>
      <c r="O156" s="528">
        <f t="shared" si="35"/>
        <v>1599.46</v>
      </c>
      <c r="P156" s="528" t="str">
        <f t="shared" si="36"/>
        <v>OK</v>
      </c>
      <c r="R156">
        <f t="shared" si="38"/>
        <v>1270.22</v>
      </c>
    </row>
    <row r="157" spans="1:18">
      <c r="A157" s="494" t="s">
        <v>4697</v>
      </c>
      <c r="B157" s="494"/>
      <c r="C157" s="494"/>
      <c r="D157" s="490" t="s">
        <v>1503</v>
      </c>
      <c r="E157" s="494"/>
      <c r="F157" s="494"/>
      <c r="G157" s="494"/>
      <c r="H157" s="494"/>
      <c r="I157" s="494"/>
      <c r="J157" s="494"/>
      <c r="K157" s="494"/>
      <c r="L157" s="494"/>
      <c r="M157" s="495">
        <f>ROUND((SUM(M158:M161)),2)</f>
        <v>10795.77</v>
      </c>
      <c r="N157" s="496">
        <f t="shared" si="37"/>
        <v>6.3210398784142342E-3</v>
      </c>
      <c r="O157" s="528">
        <f t="shared" si="35"/>
        <v>0</v>
      </c>
      <c r="P157" s="528" t="str">
        <f t="shared" si="36"/>
        <v>NÃO</v>
      </c>
      <c r="R157">
        <f t="shared" si="38"/>
        <v>0</v>
      </c>
    </row>
    <row r="158" spans="1:18" ht="26.4">
      <c r="A158" s="488" t="s">
        <v>4698</v>
      </c>
      <c r="B158" s="488" t="s">
        <v>4699</v>
      </c>
      <c r="C158" s="488" t="s">
        <v>4475</v>
      </c>
      <c r="D158" s="491" t="s">
        <v>1507</v>
      </c>
      <c r="E158" s="488" t="s">
        <v>3040</v>
      </c>
      <c r="F158" s="488">
        <v>12.48</v>
      </c>
      <c r="G158" s="497">
        <v>61.95</v>
      </c>
      <c r="H158" s="497">
        <v>34.520000000000003</v>
      </c>
      <c r="I158" s="497">
        <v>43.49</v>
      </c>
      <c r="J158" s="497">
        <f>ROUND(G158 * (1 + 25.92 / 100), 2)</f>
        <v>78.010000000000005</v>
      </c>
      <c r="K158" s="497">
        <f t="shared" ref="K158:K161" si="39">ROUND(F158 * H158, 2)</f>
        <v>430.81</v>
      </c>
      <c r="L158" s="497">
        <f t="shared" ref="L158:L161" si="40">ROUND(F158 * I158, 2)</f>
        <v>542.76</v>
      </c>
      <c r="M158" s="497">
        <f t="shared" ref="M158:M161" si="41">ROUND((K158+L158), 2)</f>
        <v>973.57</v>
      </c>
      <c r="N158" s="509">
        <f t="shared" si="37"/>
        <v>5.7003574496564352E-4</v>
      </c>
      <c r="O158" s="528">
        <f t="shared" si="35"/>
        <v>973.56999999999994</v>
      </c>
      <c r="P158" s="528" t="str">
        <f t="shared" si="36"/>
        <v>OK</v>
      </c>
      <c r="R158">
        <f t="shared" si="38"/>
        <v>773.14</v>
      </c>
    </row>
    <row r="159" spans="1:18" ht="39.6">
      <c r="A159" s="488" t="s">
        <v>4700</v>
      </c>
      <c r="B159" s="488" t="s">
        <v>4701</v>
      </c>
      <c r="C159" s="488" t="s">
        <v>4155</v>
      </c>
      <c r="D159" s="491" t="s">
        <v>2624</v>
      </c>
      <c r="E159" s="488" t="s">
        <v>3040</v>
      </c>
      <c r="F159" s="488">
        <v>4.72</v>
      </c>
      <c r="G159" s="497">
        <v>103.24</v>
      </c>
      <c r="H159" s="497">
        <f>ROUND((10.74*1.2592),2)</f>
        <v>13.52</v>
      </c>
      <c r="I159" s="497">
        <f>ROUND((92.5*1.2592),2)</f>
        <v>116.48</v>
      </c>
      <c r="J159" s="497">
        <f>ROUND(G159 * (1 + 25.92 / 100), 2)</f>
        <v>130</v>
      </c>
      <c r="K159" s="497">
        <f t="shared" si="39"/>
        <v>63.81</v>
      </c>
      <c r="L159" s="497">
        <f t="shared" si="40"/>
        <v>549.79</v>
      </c>
      <c r="M159" s="497">
        <f t="shared" si="41"/>
        <v>613.6</v>
      </c>
      <c r="N159" s="509">
        <f t="shared" si="37"/>
        <v>3.5926942398689248E-4</v>
      </c>
      <c r="O159" s="528">
        <f t="shared" si="35"/>
        <v>613.59999999999991</v>
      </c>
      <c r="P159" s="528" t="str">
        <f t="shared" si="36"/>
        <v>OK</v>
      </c>
      <c r="R159">
        <f t="shared" si="38"/>
        <v>487.29</v>
      </c>
    </row>
    <row r="160" spans="1:18" ht="39.6">
      <c r="A160" s="488" t="s">
        <v>4702</v>
      </c>
      <c r="B160" s="488" t="s">
        <v>4703</v>
      </c>
      <c r="C160" s="488" t="s">
        <v>4155</v>
      </c>
      <c r="D160" s="491" t="s">
        <v>2627</v>
      </c>
      <c r="E160" s="488" t="s">
        <v>3040</v>
      </c>
      <c r="F160" s="488">
        <v>27.6</v>
      </c>
      <c r="G160" s="497">
        <v>91.06</v>
      </c>
      <c r="H160" s="497">
        <f>ROUND((9.32*1.2592),2)</f>
        <v>11.74</v>
      </c>
      <c r="I160" s="497">
        <f>ROUND((81.74*1.2592),2)</f>
        <v>102.93</v>
      </c>
      <c r="J160" s="497">
        <f>ROUND(G160 * (1 + 25.92 / 100), 2)</f>
        <v>114.66</v>
      </c>
      <c r="K160" s="497">
        <f t="shared" si="39"/>
        <v>324.02</v>
      </c>
      <c r="L160" s="497">
        <f t="shared" si="40"/>
        <v>2840.87</v>
      </c>
      <c r="M160" s="497">
        <f t="shared" si="41"/>
        <v>3164.89</v>
      </c>
      <c r="N160" s="509">
        <f t="shared" si="37"/>
        <v>1.8530772608896283E-3</v>
      </c>
      <c r="O160" s="528">
        <f t="shared" si="35"/>
        <v>3164.89</v>
      </c>
      <c r="P160" s="528" t="str">
        <f t="shared" si="36"/>
        <v>OK</v>
      </c>
      <c r="R160">
        <f t="shared" si="38"/>
        <v>2513.2600000000002</v>
      </c>
    </row>
    <row r="161" spans="1:18" ht="39.6">
      <c r="A161" s="488" t="s">
        <v>4704</v>
      </c>
      <c r="B161" s="488" t="s">
        <v>4705</v>
      </c>
      <c r="C161" s="488" t="s">
        <v>4155</v>
      </c>
      <c r="D161" s="491" t="s">
        <v>4706</v>
      </c>
      <c r="E161" s="488" t="s">
        <v>2487</v>
      </c>
      <c r="F161" s="488">
        <v>46.1</v>
      </c>
      <c r="G161" s="497">
        <v>104.11</v>
      </c>
      <c r="H161" s="497">
        <f>ROUND(((0.03+16.13+0.04)*1.2592),2)</f>
        <v>20.399999999999999</v>
      </c>
      <c r="I161" s="497">
        <f>ROUND((87.91*1.2592),2)</f>
        <v>110.7</v>
      </c>
      <c r="J161" s="497">
        <f>ROUND(G161 * (1 + 25.92 / 100), 2)</f>
        <v>131.1</v>
      </c>
      <c r="K161" s="497">
        <f t="shared" si="39"/>
        <v>940.44</v>
      </c>
      <c r="L161" s="497">
        <f t="shared" si="40"/>
        <v>5103.2700000000004</v>
      </c>
      <c r="M161" s="497">
        <f t="shared" si="41"/>
        <v>6043.71</v>
      </c>
      <c r="N161" s="509">
        <f t="shared" si="37"/>
        <v>3.5386574485720694E-3</v>
      </c>
      <c r="O161" s="528">
        <f t="shared" si="35"/>
        <v>6043.7100000000009</v>
      </c>
      <c r="P161" s="528" t="str">
        <f t="shared" si="36"/>
        <v>OK</v>
      </c>
      <c r="R161">
        <f t="shared" si="38"/>
        <v>4799.47</v>
      </c>
    </row>
    <row r="162" spans="1:18">
      <c r="A162" s="494" t="s">
        <v>4707</v>
      </c>
      <c r="B162" s="494"/>
      <c r="C162" s="494"/>
      <c r="D162" s="490" t="s">
        <v>1577</v>
      </c>
      <c r="E162" s="494"/>
      <c r="F162" s="494"/>
      <c r="G162" s="494"/>
      <c r="H162" s="494"/>
      <c r="I162" s="494"/>
      <c r="J162" s="494"/>
      <c r="K162" s="494"/>
      <c r="L162" s="494"/>
      <c r="M162" s="495">
        <f>ROUND((SUM(M163:M167)),2)</f>
        <v>233599.23</v>
      </c>
      <c r="N162" s="496">
        <f t="shared" si="37"/>
        <v>0.13677487093526988</v>
      </c>
      <c r="O162" s="528">
        <f t="shared" si="35"/>
        <v>0</v>
      </c>
      <c r="P162" s="528" t="str">
        <f t="shared" si="36"/>
        <v>NÃO</v>
      </c>
      <c r="R162">
        <f t="shared" si="38"/>
        <v>0</v>
      </c>
    </row>
    <row r="163" spans="1:18" ht="26.4">
      <c r="A163" s="488" t="s">
        <v>4708</v>
      </c>
      <c r="B163" s="488" t="s">
        <v>4709</v>
      </c>
      <c r="C163" s="488" t="s">
        <v>4475</v>
      </c>
      <c r="D163" s="491" t="s">
        <v>1578</v>
      </c>
      <c r="E163" s="488" t="s">
        <v>4163</v>
      </c>
      <c r="F163" s="488">
        <v>39.49</v>
      </c>
      <c r="G163" s="497">
        <v>20.96</v>
      </c>
      <c r="H163" s="497">
        <v>0</v>
      </c>
      <c r="I163" s="497">
        <v>26.39</v>
      </c>
      <c r="J163" s="497">
        <f>ROUND(G163 * (1 + 25.92 / 100), 2)</f>
        <v>26.39</v>
      </c>
      <c r="K163" s="497">
        <f t="shared" ref="K163:K167" si="42">ROUND(F163 * H163, 2)</f>
        <v>0</v>
      </c>
      <c r="L163" s="497">
        <f t="shared" ref="L163:L167" si="43">ROUND(F163 * I163, 2)</f>
        <v>1042.1400000000001</v>
      </c>
      <c r="M163" s="497">
        <f t="shared" ref="M163:M167" si="44">ROUND((K163+L163), 2)</f>
        <v>1042.1400000000001</v>
      </c>
      <c r="N163" s="509">
        <f t="shared" si="37"/>
        <v>6.1018422019833791E-4</v>
      </c>
      <c r="O163" s="528">
        <f t="shared" si="35"/>
        <v>1042.1400000000001</v>
      </c>
      <c r="P163" s="528" t="str">
        <f t="shared" si="36"/>
        <v>OK</v>
      </c>
      <c r="R163">
        <f t="shared" si="38"/>
        <v>827.71</v>
      </c>
    </row>
    <row r="164" spans="1:18" ht="26.4">
      <c r="A164" s="488" t="s">
        <v>4710</v>
      </c>
      <c r="B164" s="488" t="s">
        <v>4711</v>
      </c>
      <c r="C164" s="488" t="s">
        <v>4475</v>
      </c>
      <c r="D164" s="491" t="s">
        <v>1579</v>
      </c>
      <c r="E164" s="488" t="s">
        <v>4163</v>
      </c>
      <c r="F164" s="488">
        <v>9958.57</v>
      </c>
      <c r="G164" s="497">
        <v>17.48</v>
      </c>
      <c r="H164" s="497">
        <v>0</v>
      </c>
      <c r="I164" s="497">
        <v>22.01</v>
      </c>
      <c r="J164" s="497">
        <f>ROUND(G164 * (1 + 25.92 / 100), 2)</f>
        <v>22.01</v>
      </c>
      <c r="K164" s="497">
        <f t="shared" si="42"/>
        <v>0</v>
      </c>
      <c r="L164" s="497">
        <f t="shared" si="43"/>
        <v>219188.13</v>
      </c>
      <c r="M164" s="497">
        <f t="shared" si="44"/>
        <v>219188.13</v>
      </c>
      <c r="N164" s="509">
        <f t="shared" si="37"/>
        <v>0.12833701631333785</v>
      </c>
      <c r="O164" s="528">
        <f t="shared" si="35"/>
        <v>219188.13</v>
      </c>
      <c r="P164" s="528" t="str">
        <f t="shared" si="36"/>
        <v>OK</v>
      </c>
      <c r="R164">
        <f t="shared" si="38"/>
        <v>174075.8</v>
      </c>
    </row>
    <row r="165" spans="1:18" ht="52.8">
      <c r="A165" s="488" t="s">
        <v>4258</v>
      </c>
      <c r="B165" s="488" t="s">
        <v>4877</v>
      </c>
      <c r="C165" s="488" t="s">
        <v>4144</v>
      </c>
      <c r="D165" s="491" t="s">
        <v>2751</v>
      </c>
      <c r="E165" s="488" t="s">
        <v>4163</v>
      </c>
      <c r="F165" s="488">
        <v>1283.26</v>
      </c>
      <c r="G165" s="497">
        <v>8.17</v>
      </c>
      <c r="H165" s="497">
        <f>ROUND((('Composições Custo Unitário'!H324+'Composições Custo Unitário'!H325+'Composições Custo Unitário'!H326)*1.2592),2)</f>
        <v>9.91</v>
      </c>
      <c r="I165" s="497">
        <f>ROUND((('Composições Custo Unitário'!H327+'Composições Custo Unitário'!H328+'Composições Custo Unitário'!H329)*1.2592),2)</f>
        <v>0.38</v>
      </c>
      <c r="J165" s="497">
        <f>ROUND(G165 * (1 + 25.92 / 100), 2)</f>
        <v>10.29</v>
      </c>
      <c r="K165" s="497">
        <f t="shared" si="42"/>
        <v>12717.11</v>
      </c>
      <c r="L165" s="497">
        <f t="shared" si="43"/>
        <v>487.64</v>
      </c>
      <c r="M165" s="497">
        <f t="shared" si="44"/>
        <v>13204.75</v>
      </c>
      <c r="N165" s="509">
        <f t="shared" si="37"/>
        <v>7.7315236740399572E-3</v>
      </c>
      <c r="O165" s="528">
        <f t="shared" si="35"/>
        <v>13204.75</v>
      </c>
      <c r="P165" s="528" t="str">
        <f t="shared" si="36"/>
        <v>OK</v>
      </c>
      <c r="R165">
        <f t="shared" si="38"/>
        <v>10484.23</v>
      </c>
    </row>
    <row r="166" spans="1:18">
      <c r="A166" s="488" t="s">
        <v>4712</v>
      </c>
      <c r="B166" s="488" t="s">
        <v>4713</v>
      </c>
      <c r="C166" s="488" t="s">
        <v>4475</v>
      </c>
      <c r="D166" s="491" t="s">
        <v>1538</v>
      </c>
      <c r="E166" s="488" t="s">
        <v>3040</v>
      </c>
      <c r="F166" s="488">
        <v>0.54</v>
      </c>
      <c r="G166" s="497">
        <v>20.57</v>
      </c>
      <c r="H166" s="497">
        <v>10.91</v>
      </c>
      <c r="I166" s="497">
        <v>14.99</v>
      </c>
      <c r="J166" s="497">
        <f>ROUND(G166 * (1 + 25.92 / 100), 2)</f>
        <v>25.9</v>
      </c>
      <c r="K166" s="497">
        <f t="shared" si="42"/>
        <v>5.89</v>
      </c>
      <c r="L166" s="497">
        <f t="shared" si="43"/>
        <v>8.09</v>
      </c>
      <c r="M166" s="497">
        <f t="shared" si="44"/>
        <v>13.98</v>
      </c>
      <c r="N166" s="509">
        <f t="shared" si="37"/>
        <v>8.1854409180846753E-6</v>
      </c>
      <c r="O166" s="528">
        <f t="shared" si="35"/>
        <v>13.98</v>
      </c>
      <c r="P166" s="528" t="str">
        <f t="shared" si="36"/>
        <v>OK</v>
      </c>
      <c r="R166">
        <f t="shared" si="38"/>
        <v>11.11</v>
      </c>
    </row>
    <row r="167" spans="1:18" ht="26.4">
      <c r="A167" s="488" t="s">
        <v>4714</v>
      </c>
      <c r="B167" s="488" t="s">
        <v>4715</v>
      </c>
      <c r="C167" s="488" t="s">
        <v>4155</v>
      </c>
      <c r="D167" s="491" t="s">
        <v>3377</v>
      </c>
      <c r="E167" s="488" t="s">
        <v>2894</v>
      </c>
      <c r="F167" s="488">
        <v>0.13</v>
      </c>
      <c r="G167" s="497">
        <v>917.7</v>
      </c>
      <c r="H167" s="497">
        <f>(251.42+1.43+1.2)*1.2592</f>
        <v>319.89976000000001</v>
      </c>
      <c r="I167" s="497">
        <f>663.65*1.2592</f>
        <v>835.66808000000003</v>
      </c>
      <c r="J167" s="497">
        <f>ROUND(G167 * (1 + 25.92 / 100), 2)</f>
        <v>1155.57</v>
      </c>
      <c r="K167" s="497">
        <f t="shared" si="42"/>
        <v>41.59</v>
      </c>
      <c r="L167" s="497">
        <f t="shared" si="43"/>
        <v>108.64</v>
      </c>
      <c r="M167" s="497">
        <f t="shared" si="44"/>
        <v>150.22999999999999</v>
      </c>
      <c r="N167" s="509">
        <f t="shared" si="37"/>
        <v>8.796128677566957E-5</v>
      </c>
      <c r="O167" s="528">
        <f t="shared" si="35"/>
        <v>150.23000000000002</v>
      </c>
      <c r="P167" s="528" t="str">
        <f t="shared" si="36"/>
        <v>OK</v>
      </c>
      <c r="R167">
        <f t="shared" si="38"/>
        <v>119.3</v>
      </c>
    </row>
    <row r="168" spans="1:18">
      <c r="A168" s="494" t="s">
        <v>4716</v>
      </c>
      <c r="B168" s="494"/>
      <c r="C168" s="494"/>
      <c r="D168" s="490" t="s">
        <v>1580</v>
      </c>
      <c r="E168" s="494"/>
      <c r="F168" s="494"/>
      <c r="G168" s="494"/>
      <c r="H168" s="494"/>
      <c r="I168" s="494"/>
      <c r="J168" s="494"/>
      <c r="K168" s="494"/>
      <c r="L168" s="494"/>
      <c r="M168" s="495">
        <f>ROUND((SUM(M169:M173)),2)</f>
        <v>301998.40999999997</v>
      </c>
      <c r="N168" s="496">
        <f t="shared" si="37"/>
        <v>0.17682332921391358</v>
      </c>
      <c r="O168" s="528">
        <f t="shared" si="35"/>
        <v>0</v>
      </c>
      <c r="P168" s="528" t="str">
        <f t="shared" si="36"/>
        <v>NÃO</v>
      </c>
      <c r="R168">
        <f t="shared" si="38"/>
        <v>0</v>
      </c>
    </row>
    <row r="169" spans="1:18">
      <c r="A169" s="488" t="s">
        <v>4717</v>
      </c>
      <c r="B169" s="488" t="s">
        <v>4718</v>
      </c>
      <c r="C169" s="488" t="s">
        <v>4475</v>
      </c>
      <c r="D169" s="491" t="s">
        <v>1592</v>
      </c>
      <c r="E169" s="488" t="s">
        <v>3040</v>
      </c>
      <c r="F169" s="488">
        <v>268.47000000000003</v>
      </c>
      <c r="G169" s="497">
        <v>98.35</v>
      </c>
      <c r="H169" s="497">
        <v>62.05</v>
      </c>
      <c r="I169" s="497">
        <v>61.79</v>
      </c>
      <c r="J169" s="497">
        <f>ROUND(G169 * (1 + 25.92 / 100), 2)</f>
        <v>123.84</v>
      </c>
      <c r="K169" s="497">
        <f t="shared" ref="K169:K173" si="45">ROUND(F169 * H169, 2)</f>
        <v>16658.560000000001</v>
      </c>
      <c r="L169" s="497">
        <f t="shared" ref="L169:L173" si="46">ROUND(F169 * I169, 2)</f>
        <v>16588.759999999998</v>
      </c>
      <c r="M169" s="497">
        <f t="shared" ref="M169:M173" si="47">ROUND((K169+L169), 2)</f>
        <v>33247.32</v>
      </c>
      <c r="N169" s="509">
        <f t="shared" si="37"/>
        <v>1.9466664774295778E-2</v>
      </c>
      <c r="O169" s="528">
        <f t="shared" si="35"/>
        <v>33247.32</v>
      </c>
      <c r="P169" s="528" t="str">
        <f t="shared" si="36"/>
        <v>OK</v>
      </c>
      <c r="R169">
        <f t="shared" si="38"/>
        <v>26404.02</v>
      </c>
    </row>
    <row r="170" spans="1:18">
      <c r="A170" s="488" t="s">
        <v>4719</v>
      </c>
      <c r="B170" s="488" t="s">
        <v>4720</v>
      </c>
      <c r="C170" s="488" t="s">
        <v>4475</v>
      </c>
      <c r="D170" s="491" t="s">
        <v>1593</v>
      </c>
      <c r="E170" s="488" t="s">
        <v>2114</v>
      </c>
      <c r="F170" s="488">
        <v>66.16</v>
      </c>
      <c r="G170" s="497">
        <v>37.39</v>
      </c>
      <c r="H170" s="497">
        <v>19.41</v>
      </c>
      <c r="I170" s="497">
        <v>27.67</v>
      </c>
      <c r="J170" s="497">
        <f>ROUND(G170 * (1 + 25.92 / 100), 2)</f>
        <v>47.08</v>
      </c>
      <c r="K170" s="497">
        <f t="shared" si="45"/>
        <v>1284.17</v>
      </c>
      <c r="L170" s="497">
        <f t="shared" si="46"/>
        <v>1830.65</v>
      </c>
      <c r="M170" s="497">
        <f t="shared" si="47"/>
        <v>3114.82</v>
      </c>
      <c r="N170" s="509">
        <f t="shared" si="37"/>
        <v>1.8237607353697072E-3</v>
      </c>
      <c r="O170" s="528">
        <f t="shared" si="35"/>
        <v>3114.82</v>
      </c>
      <c r="P170" s="528" t="str">
        <f t="shared" si="36"/>
        <v>OK</v>
      </c>
      <c r="R170">
        <f t="shared" si="38"/>
        <v>2473.7199999999998</v>
      </c>
    </row>
    <row r="171" spans="1:18">
      <c r="A171" s="488" t="s">
        <v>4721</v>
      </c>
      <c r="B171" s="488" t="s">
        <v>4722</v>
      </c>
      <c r="C171" s="488" t="s">
        <v>4475</v>
      </c>
      <c r="D171" s="491" t="s">
        <v>1602</v>
      </c>
      <c r="E171" s="488" t="s">
        <v>2487</v>
      </c>
      <c r="F171" s="488">
        <v>141.69999999999999</v>
      </c>
      <c r="G171" s="497">
        <v>36.29</v>
      </c>
      <c r="H171" s="497">
        <v>3.25</v>
      </c>
      <c r="I171" s="497">
        <v>42.45</v>
      </c>
      <c r="J171" s="497">
        <f>ROUND(G171 * (1 + 25.92 / 100), 2)</f>
        <v>45.7</v>
      </c>
      <c r="K171" s="497">
        <f t="shared" si="45"/>
        <v>460.53</v>
      </c>
      <c r="L171" s="497">
        <f t="shared" si="46"/>
        <v>6015.17</v>
      </c>
      <c r="M171" s="497">
        <f t="shared" si="47"/>
        <v>6475.7</v>
      </c>
      <c r="N171" s="509">
        <f t="shared" si="37"/>
        <v>3.7915922570272479E-3</v>
      </c>
      <c r="O171" s="528">
        <f t="shared" si="35"/>
        <v>6475.7</v>
      </c>
      <c r="P171" s="528" t="str">
        <f t="shared" si="36"/>
        <v>OK</v>
      </c>
      <c r="R171">
        <f t="shared" si="38"/>
        <v>5142.29</v>
      </c>
    </row>
    <row r="172" spans="1:18" ht="26.4">
      <c r="A172" s="488" t="s">
        <v>4723</v>
      </c>
      <c r="B172" s="488" t="s">
        <v>4724</v>
      </c>
      <c r="C172" s="488" t="s">
        <v>4475</v>
      </c>
      <c r="D172" s="491" t="s">
        <v>1607</v>
      </c>
      <c r="E172" s="488" t="s">
        <v>3040</v>
      </c>
      <c r="F172" s="488">
        <v>1701.98</v>
      </c>
      <c r="G172" s="497">
        <v>67.2</v>
      </c>
      <c r="H172" s="497">
        <v>6.52</v>
      </c>
      <c r="I172" s="497">
        <v>78.099999999999994</v>
      </c>
      <c r="J172" s="497">
        <f>ROUND(G172 * (1 + 25.92 / 100), 2)</f>
        <v>84.62</v>
      </c>
      <c r="K172" s="497">
        <f t="shared" si="45"/>
        <v>11096.91</v>
      </c>
      <c r="L172" s="497">
        <f t="shared" si="46"/>
        <v>132924.64000000001</v>
      </c>
      <c r="M172" s="497">
        <f t="shared" si="47"/>
        <v>144021.54999999999</v>
      </c>
      <c r="N172" s="509">
        <f t="shared" si="37"/>
        <v>8.4326172278682249E-2</v>
      </c>
      <c r="O172" s="528">
        <f t="shared" si="35"/>
        <v>144021.55000000002</v>
      </c>
      <c r="P172" s="528" t="str">
        <f t="shared" si="36"/>
        <v>OK</v>
      </c>
      <c r="R172">
        <f t="shared" si="38"/>
        <v>114373.06</v>
      </c>
    </row>
    <row r="173" spans="1:18" ht="39.6">
      <c r="A173" s="489" t="s">
        <v>4725</v>
      </c>
      <c r="B173" s="489" t="s">
        <v>4878</v>
      </c>
      <c r="C173" s="489" t="s">
        <v>4144</v>
      </c>
      <c r="D173" s="492" t="s">
        <v>3999</v>
      </c>
      <c r="E173" s="489" t="s">
        <v>3040</v>
      </c>
      <c r="F173" s="489">
        <v>350.35</v>
      </c>
      <c r="G173" s="498">
        <v>260.99</v>
      </c>
      <c r="H173" s="498">
        <v>0</v>
      </c>
      <c r="I173" s="498">
        <v>328.64</v>
      </c>
      <c r="J173" s="498">
        <f>ROUND(G173 * (1 + 25.92 / 100), 2)</f>
        <v>328.64</v>
      </c>
      <c r="K173" s="497">
        <f t="shared" si="45"/>
        <v>0</v>
      </c>
      <c r="L173" s="497">
        <f t="shared" si="46"/>
        <v>115139.02</v>
      </c>
      <c r="M173" s="497">
        <f t="shared" si="47"/>
        <v>115139.02</v>
      </c>
      <c r="N173" s="509">
        <f t="shared" si="37"/>
        <v>6.7415139168538613E-2</v>
      </c>
      <c r="O173" s="528">
        <f t="shared" si="35"/>
        <v>115139.02</v>
      </c>
      <c r="P173" s="528" t="str">
        <f t="shared" si="36"/>
        <v>OK</v>
      </c>
      <c r="R173">
        <f t="shared" si="38"/>
        <v>91437.85</v>
      </c>
    </row>
    <row r="174" spans="1:18">
      <c r="A174" s="494" t="s">
        <v>4726</v>
      </c>
      <c r="B174" s="494"/>
      <c r="C174" s="494"/>
      <c r="D174" s="490" t="s">
        <v>3977</v>
      </c>
      <c r="E174" s="494"/>
      <c r="F174" s="494"/>
      <c r="G174" s="494"/>
      <c r="H174" s="494"/>
      <c r="I174" s="494"/>
      <c r="J174" s="494"/>
      <c r="K174" s="494"/>
      <c r="L174" s="494"/>
      <c r="M174" s="495">
        <f>ROUND((SUM(M175:M181)),2)</f>
        <v>69920.95</v>
      </c>
      <c r="N174" s="496">
        <f t="shared" si="37"/>
        <v>4.0939471041584595E-2</v>
      </c>
      <c r="O174" s="528">
        <f t="shared" si="35"/>
        <v>0</v>
      </c>
      <c r="P174" s="528" t="str">
        <f t="shared" si="36"/>
        <v>NÃO</v>
      </c>
      <c r="R174">
        <f t="shared" si="38"/>
        <v>0</v>
      </c>
    </row>
    <row r="175" spans="1:18" ht="26.4">
      <c r="A175" s="488" t="s">
        <v>4269</v>
      </c>
      <c r="B175" s="488" t="s">
        <v>4879</v>
      </c>
      <c r="C175" s="488" t="s">
        <v>4144</v>
      </c>
      <c r="D175" s="491" t="s">
        <v>2873</v>
      </c>
      <c r="E175" s="488" t="s">
        <v>3040</v>
      </c>
      <c r="F175" s="488">
        <v>12.6</v>
      </c>
      <c r="G175" s="497">
        <v>46.88</v>
      </c>
      <c r="H175" s="497">
        <v>49.73</v>
      </c>
      <c r="I175" s="497">
        <v>9.3000000000000007</v>
      </c>
      <c r="J175" s="497">
        <f t="shared" ref="J175:J181" si="48">ROUND(G175 * (1 + 25.92 / 100), 2)</f>
        <v>59.03</v>
      </c>
      <c r="K175" s="497">
        <f t="shared" ref="K175:K181" si="49">ROUND(F175 * H175, 2)</f>
        <v>626.6</v>
      </c>
      <c r="L175" s="497">
        <f t="shared" ref="L175:L181" si="50">ROUND(F175 * I175, 2)</f>
        <v>117.18</v>
      </c>
      <c r="M175" s="497">
        <f t="shared" ref="M175:M181" si="51">ROUND((K175+L175), 2)</f>
        <v>743.78</v>
      </c>
      <c r="N175" s="509">
        <f t="shared" si="37"/>
        <v>4.3549121931709723E-4</v>
      </c>
      <c r="O175" s="528">
        <f t="shared" si="35"/>
        <v>743.78</v>
      </c>
      <c r="P175" s="528" t="str">
        <f t="shared" si="36"/>
        <v>OK</v>
      </c>
      <c r="R175">
        <f t="shared" si="38"/>
        <v>590.69000000000005</v>
      </c>
    </row>
    <row r="176" spans="1:18" ht="26.4">
      <c r="A176" s="488" t="s">
        <v>4279</v>
      </c>
      <c r="B176" s="488" t="s">
        <v>4880</v>
      </c>
      <c r="C176" s="488" t="s">
        <v>4144</v>
      </c>
      <c r="D176" s="491" t="s">
        <v>3235</v>
      </c>
      <c r="E176" s="488" t="s">
        <v>3040</v>
      </c>
      <c r="F176" s="488">
        <v>6</v>
      </c>
      <c r="G176" s="497">
        <v>46.51</v>
      </c>
      <c r="H176" s="497">
        <v>53.16</v>
      </c>
      <c r="I176" s="497">
        <v>5.41</v>
      </c>
      <c r="J176" s="497">
        <f t="shared" si="48"/>
        <v>58.57</v>
      </c>
      <c r="K176" s="497">
        <f t="shared" si="49"/>
        <v>318.95999999999998</v>
      </c>
      <c r="L176" s="497">
        <f t="shared" si="50"/>
        <v>32.46</v>
      </c>
      <c r="M176" s="497">
        <f t="shared" si="51"/>
        <v>351.42</v>
      </c>
      <c r="N176" s="509">
        <f t="shared" si="37"/>
        <v>2.0576020367906413E-4</v>
      </c>
      <c r="O176" s="528">
        <f t="shared" si="35"/>
        <v>351.41999999999996</v>
      </c>
      <c r="P176" s="528" t="str">
        <f t="shared" si="36"/>
        <v>OK</v>
      </c>
      <c r="R176">
        <f t="shared" si="38"/>
        <v>279.06</v>
      </c>
    </row>
    <row r="177" spans="1:18" ht="39.6">
      <c r="A177" s="489" t="s">
        <v>4727</v>
      </c>
      <c r="B177" s="489" t="s">
        <v>4881</v>
      </c>
      <c r="C177" s="489" t="s">
        <v>4144</v>
      </c>
      <c r="D177" s="492" t="s">
        <v>2713</v>
      </c>
      <c r="E177" s="489" t="s">
        <v>3040</v>
      </c>
      <c r="F177" s="489">
        <v>6</v>
      </c>
      <c r="G177" s="498">
        <v>433.33</v>
      </c>
      <c r="H177" s="498">
        <v>0</v>
      </c>
      <c r="I177" s="498">
        <v>545.65</v>
      </c>
      <c r="J177" s="498">
        <f t="shared" si="48"/>
        <v>545.65</v>
      </c>
      <c r="K177" s="497">
        <f t="shared" si="49"/>
        <v>0</v>
      </c>
      <c r="L177" s="497">
        <f t="shared" si="50"/>
        <v>3273.9</v>
      </c>
      <c r="M177" s="497">
        <f t="shared" si="51"/>
        <v>3273.9</v>
      </c>
      <c r="N177" s="509">
        <f t="shared" si="37"/>
        <v>1.9169037926836494E-3</v>
      </c>
      <c r="O177" s="528">
        <f t="shared" si="35"/>
        <v>3273.9</v>
      </c>
      <c r="P177" s="528" t="str">
        <f t="shared" si="36"/>
        <v>OK</v>
      </c>
      <c r="R177">
        <f t="shared" si="38"/>
        <v>2599.98</v>
      </c>
    </row>
    <row r="178" spans="1:18">
      <c r="A178" s="488" t="s">
        <v>4281</v>
      </c>
      <c r="B178" s="488" t="s">
        <v>4882</v>
      </c>
      <c r="C178" s="488" t="s">
        <v>4144</v>
      </c>
      <c r="D178" s="491" t="s">
        <v>3292</v>
      </c>
      <c r="E178" s="488" t="s">
        <v>2489</v>
      </c>
      <c r="F178" s="488">
        <v>1</v>
      </c>
      <c r="G178" s="497">
        <v>26.5</v>
      </c>
      <c r="H178" s="497">
        <v>8.1999999999999993</v>
      </c>
      <c r="I178" s="497">
        <v>25.17</v>
      </c>
      <c r="J178" s="497">
        <f t="shared" si="48"/>
        <v>33.369999999999997</v>
      </c>
      <c r="K178" s="497">
        <f t="shared" si="49"/>
        <v>8.1999999999999993</v>
      </c>
      <c r="L178" s="497">
        <f t="shared" si="50"/>
        <v>25.17</v>
      </c>
      <c r="M178" s="497">
        <f t="shared" si="51"/>
        <v>33.369999999999997</v>
      </c>
      <c r="N178" s="509">
        <f t="shared" si="37"/>
        <v>1.9538495238661344E-5</v>
      </c>
      <c r="O178" s="528">
        <f t="shared" si="35"/>
        <v>33.370000000000005</v>
      </c>
      <c r="P178" s="528" t="str">
        <f t="shared" si="36"/>
        <v>OK</v>
      </c>
      <c r="R178">
        <f t="shared" si="38"/>
        <v>26.5</v>
      </c>
    </row>
    <row r="179" spans="1:18" ht="39.6">
      <c r="A179" s="489" t="s">
        <v>4728</v>
      </c>
      <c r="B179" s="489" t="s">
        <v>4883</v>
      </c>
      <c r="C179" s="489" t="s">
        <v>4144</v>
      </c>
      <c r="D179" s="492" t="s">
        <v>2861</v>
      </c>
      <c r="E179" s="489" t="s">
        <v>2489</v>
      </c>
      <c r="F179" s="489">
        <v>3</v>
      </c>
      <c r="G179" s="498">
        <v>6624.46</v>
      </c>
      <c r="H179" s="498">
        <v>0</v>
      </c>
      <c r="I179" s="498">
        <v>8341.52</v>
      </c>
      <c r="J179" s="498">
        <f t="shared" si="48"/>
        <v>8341.52</v>
      </c>
      <c r="K179" s="497">
        <f t="shared" si="49"/>
        <v>0</v>
      </c>
      <c r="L179" s="497">
        <f t="shared" si="50"/>
        <v>25024.560000000001</v>
      </c>
      <c r="M179" s="497">
        <f t="shared" si="51"/>
        <v>25024.560000000001</v>
      </c>
      <c r="N179" s="509">
        <f t="shared" si="37"/>
        <v>1.4652150027257871E-2</v>
      </c>
      <c r="O179" s="528">
        <f t="shared" si="35"/>
        <v>25024.560000000001</v>
      </c>
      <c r="P179" s="528" t="str">
        <f t="shared" si="36"/>
        <v>OK</v>
      </c>
      <c r="R179">
        <f t="shared" si="38"/>
        <v>19873.38</v>
      </c>
    </row>
    <row r="180" spans="1:18" ht="26.4">
      <c r="A180" s="489" t="s">
        <v>4729</v>
      </c>
      <c r="B180" s="489" t="s">
        <v>4884</v>
      </c>
      <c r="C180" s="489" t="s">
        <v>4144</v>
      </c>
      <c r="D180" s="492" t="s">
        <v>2862</v>
      </c>
      <c r="E180" s="489" t="s">
        <v>2489</v>
      </c>
      <c r="F180" s="489">
        <v>8</v>
      </c>
      <c r="G180" s="498">
        <v>1516.08</v>
      </c>
      <c r="H180" s="498">
        <v>0</v>
      </c>
      <c r="I180" s="498">
        <v>1909.05</v>
      </c>
      <c r="J180" s="498">
        <f t="shared" si="48"/>
        <v>1909.05</v>
      </c>
      <c r="K180" s="497">
        <f t="shared" si="49"/>
        <v>0</v>
      </c>
      <c r="L180" s="497">
        <f t="shared" si="50"/>
        <v>15272.4</v>
      </c>
      <c r="M180" s="497">
        <f t="shared" si="51"/>
        <v>15272.4</v>
      </c>
      <c r="N180" s="509">
        <f t="shared" si="37"/>
        <v>8.9421550699110425E-3</v>
      </c>
      <c r="O180" s="528">
        <f t="shared" si="35"/>
        <v>15272.4</v>
      </c>
      <c r="P180" s="528" t="str">
        <f t="shared" si="36"/>
        <v>OK</v>
      </c>
      <c r="R180">
        <f t="shared" si="38"/>
        <v>12128.64</v>
      </c>
    </row>
    <row r="181" spans="1:18" ht="39.6">
      <c r="A181" s="489" t="s">
        <v>4730</v>
      </c>
      <c r="B181" s="489" t="s">
        <v>4885</v>
      </c>
      <c r="C181" s="489" t="s">
        <v>4144</v>
      </c>
      <c r="D181" s="492" t="s">
        <v>2863</v>
      </c>
      <c r="E181" s="489" t="s">
        <v>2489</v>
      </c>
      <c r="F181" s="489">
        <v>1</v>
      </c>
      <c r="G181" s="498">
        <v>20029.8</v>
      </c>
      <c r="H181" s="498">
        <v>0</v>
      </c>
      <c r="I181" s="498">
        <v>25221.52</v>
      </c>
      <c r="J181" s="498">
        <f t="shared" si="48"/>
        <v>25221.52</v>
      </c>
      <c r="K181" s="497">
        <f t="shared" si="49"/>
        <v>0</v>
      </c>
      <c r="L181" s="497">
        <f t="shared" si="50"/>
        <v>25221.52</v>
      </c>
      <c r="M181" s="497">
        <f t="shared" si="51"/>
        <v>25221.52</v>
      </c>
      <c r="N181" s="509">
        <f t="shared" si="37"/>
        <v>1.476747223349721E-2</v>
      </c>
      <c r="O181" s="528">
        <f t="shared" si="35"/>
        <v>25221.52</v>
      </c>
      <c r="P181" s="528" t="str">
        <f t="shared" si="36"/>
        <v>OK</v>
      </c>
      <c r="R181">
        <f t="shared" si="38"/>
        <v>20029.8</v>
      </c>
    </row>
    <row r="182" spans="1:18">
      <c r="A182" s="494" t="s">
        <v>4731</v>
      </c>
      <c r="B182" s="494"/>
      <c r="C182" s="494"/>
      <c r="D182" s="490" t="s">
        <v>4732</v>
      </c>
      <c r="E182" s="494"/>
      <c r="F182" s="494"/>
      <c r="G182" s="494"/>
      <c r="H182" s="494"/>
      <c r="I182" s="494"/>
      <c r="J182" s="494"/>
      <c r="K182" s="494"/>
      <c r="L182" s="494"/>
      <c r="M182" s="495">
        <f>ROUND((SUM(M183:M186)),2)</f>
        <v>2540.56</v>
      </c>
      <c r="N182" s="496">
        <f t="shared" si="37"/>
        <v>1.4875253060693276E-3</v>
      </c>
      <c r="O182" s="528">
        <f t="shared" si="35"/>
        <v>0</v>
      </c>
      <c r="P182" s="528" t="str">
        <f t="shared" si="36"/>
        <v>NÃO</v>
      </c>
      <c r="R182">
        <f t="shared" si="38"/>
        <v>0</v>
      </c>
    </row>
    <row r="183" spans="1:18">
      <c r="A183" s="488" t="s">
        <v>4733</v>
      </c>
      <c r="B183" s="488" t="s">
        <v>4734</v>
      </c>
      <c r="C183" s="488" t="s">
        <v>4475</v>
      </c>
      <c r="D183" s="491" t="s">
        <v>1710</v>
      </c>
      <c r="E183" s="488" t="s">
        <v>3040</v>
      </c>
      <c r="F183" s="488">
        <v>24.95</v>
      </c>
      <c r="G183" s="497">
        <v>5.34</v>
      </c>
      <c r="H183" s="497">
        <v>3.76</v>
      </c>
      <c r="I183" s="497">
        <v>2.96</v>
      </c>
      <c r="J183" s="497">
        <f>ROUND(G183 * (1 + 25.92 / 100), 2)</f>
        <v>6.72</v>
      </c>
      <c r="K183" s="497">
        <f t="shared" ref="K183:K186" si="52">ROUND(F183 * H183, 2)</f>
        <v>93.81</v>
      </c>
      <c r="L183" s="497">
        <f t="shared" ref="L183:L186" si="53">ROUND(F183 * I183, 2)</f>
        <v>73.849999999999994</v>
      </c>
      <c r="M183" s="497">
        <f t="shared" ref="M183:M186" si="54">ROUND((K183+L183), 2)</f>
        <v>167.66</v>
      </c>
      <c r="N183" s="509">
        <f t="shared" si="37"/>
        <v>9.8166739937487592E-5</v>
      </c>
      <c r="O183" s="528">
        <f t="shared" si="35"/>
        <v>167.66</v>
      </c>
      <c r="P183" s="528" t="str">
        <f t="shared" si="36"/>
        <v>OK</v>
      </c>
      <c r="R183">
        <f t="shared" si="38"/>
        <v>133.22999999999999</v>
      </c>
    </row>
    <row r="184" spans="1:18">
      <c r="A184" s="488" t="s">
        <v>4735</v>
      </c>
      <c r="B184" s="488" t="s">
        <v>4736</v>
      </c>
      <c r="C184" s="488" t="s">
        <v>4475</v>
      </c>
      <c r="D184" s="491" t="s">
        <v>1712</v>
      </c>
      <c r="E184" s="488" t="s">
        <v>2487</v>
      </c>
      <c r="F184" s="488">
        <v>8.8000000000000007</v>
      </c>
      <c r="G184" s="497">
        <v>13.29</v>
      </c>
      <c r="H184" s="497">
        <v>16.47</v>
      </c>
      <c r="I184" s="497">
        <v>0.26</v>
      </c>
      <c r="J184" s="497">
        <f>ROUND(G184 * (1 + 25.92 / 100), 2)</f>
        <v>16.73</v>
      </c>
      <c r="K184" s="497">
        <f t="shared" si="52"/>
        <v>144.94</v>
      </c>
      <c r="L184" s="497">
        <f t="shared" si="53"/>
        <v>2.29</v>
      </c>
      <c r="M184" s="497">
        <f t="shared" si="54"/>
        <v>147.22999999999999</v>
      </c>
      <c r="N184" s="509">
        <f t="shared" si="37"/>
        <v>8.6204754389814482E-5</v>
      </c>
      <c r="O184" s="528">
        <f t="shared" si="35"/>
        <v>147.22999999999999</v>
      </c>
      <c r="P184" s="528" t="str">
        <f t="shared" si="36"/>
        <v>OK</v>
      </c>
      <c r="R184">
        <f t="shared" si="38"/>
        <v>116.95</v>
      </c>
    </row>
    <row r="185" spans="1:18">
      <c r="A185" s="488" t="s">
        <v>4737</v>
      </c>
      <c r="B185" s="488" t="s">
        <v>4738</v>
      </c>
      <c r="C185" s="488" t="s">
        <v>4475</v>
      </c>
      <c r="D185" s="491" t="s">
        <v>1721</v>
      </c>
      <c r="E185" s="488" t="s">
        <v>3040</v>
      </c>
      <c r="F185" s="488">
        <v>60.58</v>
      </c>
      <c r="G185" s="497">
        <v>26.51</v>
      </c>
      <c r="H185" s="497">
        <v>20.91</v>
      </c>
      <c r="I185" s="497">
        <v>12.47</v>
      </c>
      <c r="J185" s="497">
        <f>ROUND(G185 * (1 + 25.92 / 100), 2)</f>
        <v>33.380000000000003</v>
      </c>
      <c r="K185" s="497">
        <f t="shared" si="52"/>
        <v>1266.73</v>
      </c>
      <c r="L185" s="497">
        <f t="shared" si="53"/>
        <v>755.43</v>
      </c>
      <c r="M185" s="497">
        <f t="shared" si="54"/>
        <v>2022.16</v>
      </c>
      <c r="N185" s="509">
        <f t="shared" si="37"/>
        <v>1.1839965097935699E-3</v>
      </c>
      <c r="O185" s="528">
        <f t="shared" si="35"/>
        <v>2022.1599999999999</v>
      </c>
      <c r="P185" s="528" t="str">
        <f t="shared" si="36"/>
        <v>OK</v>
      </c>
      <c r="R185">
        <f t="shared" si="38"/>
        <v>1605.98</v>
      </c>
    </row>
    <row r="186" spans="1:18">
      <c r="A186" s="488" t="s">
        <v>4283</v>
      </c>
      <c r="B186" s="488" t="s">
        <v>4886</v>
      </c>
      <c r="C186" s="488" t="s">
        <v>4144</v>
      </c>
      <c r="D186" s="491" t="s">
        <v>3052</v>
      </c>
      <c r="E186" s="488" t="s">
        <v>3040</v>
      </c>
      <c r="F186" s="488">
        <v>24.52</v>
      </c>
      <c r="G186" s="497">
        <v>6.59</v>
      </c>
      <c r="H186" s="497">
        <v>1.31</v>
      </c>
      <c r="I186" s="497">
        <v>6.99</v>
      </c>
      <c r="J186" s="497">
        <f>ROUND(G186 * (1 + 25.92 / 100), 2)</f>
        <v>8.3000000000000007</v>
      </c>
      <c r="K186" s="497">
        <f t="shared" si="52"/>
        <v>32.119999999999997</v>
      </c>
      <c r="L186" s="497">
        <f t="shared" si="53"/>
        <v>171.39</v>
      </c>
      <c r="M186" s="497">
        <f t="shared" si="54"/>
        <v>203.51</v>
      </c>
      <c r="N186" s="509">
        <f t="shared" si="37"/>
        <v>1.1915730194845579E-4</v>
      </c>
      <c r="O186" s="528">
        <f t="shared" si="35"/>
        <v>203.51</v>
      </c>
      <c r="P186" s="528" t="str">
        <f t="shared" si="36"/>
        <v>OK</v>
      </c>
      <c r="R186">
        <f t="shared" si="38"/>
        <v>161.59</v>
      </c>
    </row>
    <row r="187" spans="1:18">
      <c r="A187" s="494" t="s">
        <v>4739</v>
      </c>
      <c r="B187" s="494"/>
      <c r="C187" s="494"/>
      <c r="D187" s="490" t="s">
        <v>1740</v>
      </c>
      <c r="E187" s="494"/>
      <c r="F187" s="494"/>
      <c r="G187" s="494"/>
      <c r="H187" s="494"/>
      <c r="I187" s="494"/>
      <c r="J187" s="494"/>
      <c r="K187" s="494"/>
      <c r="L187" s="494"/>
      <c r="M187" s="495">
        <f>ROUND((SUM(M188:M190)),2)</f>
        <v>148838.43</v>
      </c>
      <c r="N187" s="496">
        <f t="shared" si="37"/>
        <v>8.7146507518274782E-2</v>
      </c>
      <c r="O187" s="528">
        <f t="shared" si="35"/>
        <v>0</v>
      </c>
      <c r="P187" s="528" t="str">
        <f t="shared" si="36"/>
        <v>NÃO</v>
      </c>
      <c r="R187">
        <f t="shared" si="38"/>
        <v>0</v>
      </c>
    </row>
    <row r="188" spans="1:18" ht="26.4">
      <c r="A188" s="488" t="s">
        <v>4740</v>
      </c>
      <c r="B188" s="488" t="s">
        <v>4741</v>
      </c>
      <c r="C188" s="488" t="s">
        <v>4475</v>
      </c>
      <c r="D188" s="491" t="s">
        <v>1748</v>
      </c>
      <c r="E188" s="488" t="s">
        <v>3040</v>
      </c>
      <c r="F188" s="488">
        <v>1472.35</v>
      </c>
      <c r="G188" s="497">
        <v>67.42</v>
      </c>
      <c r="H188" s="497">
        <v>14.06</v>
      </c>
      <c r="I188" s="497">
        <v>70.84</v>
      </c>
      <c r="J188" s="497">
        <f>ROUND(G188 * (1 + 25.92 / 100), 2)</f>
        <v>84.9</v>
      </c>
      <c r="K188" s="497">
        <f t="shared" ref="K188:K190" si="55">ROUND(F188 * H188, 2)</f>
        <v>20701.240000000002</v>
      </c>
      <c r="L188" s="497">
        <f t="shared" ref="L188:L190" si="56">ROUND(F188 * I188, 2)</f>
        <v>104301.27</v>
      </c>
      <c r="M188" s="497">
        <f t="shared" ref="M188:M251" si="57">ROUND((K188+L188), 2)</f>
        <v>125002.51</v>
      </c>
      <c r="N188" s="509">
        <f t="shared" si="37"/>
        <v>7.3190319042724508E-2</v>
      </c>
      <c r="O188" s="528">
        <f t="shared" si="35"/>
        <v>125002.51000000001</v>
      </c>
      <c r="P188" s="528" t="str">
        <f t="shared" si="36"/>
        <v>OK</v>
      </c>
      <c r="R188">
        <f t="shared" si="38"/>
        <v>99265.84</v>
      </c>
    </row>
    <row r="189" spans="1:18" ht="26.4">
      <c r="A189" s="488" t="s">
        <v>4742</v>
      </c>
      <c r="B189" s="488" t="s">
        <v>4743</v>
      </c>
      <c r="C189" s="488" t="s">
        <v>4475</v>
      </c>
      <c r="D189" s="491" t="s">
        <v>1749</v>
      </c>
      <c r="E189" s="488" t="s">
        <v>3040</v>
      </c>
      <c r="F189" s="488">
        <v>100.42</v>
      </c>
      <c r="G189" s="497">
        <v>77.19</v>
      </c>
      <c r="H189" s="497">
        <v>14.06</v>
      </c>
      <c r="I189" s="497">
        <v>83.14</v>
      </c>
      <c r="J189" s="497">
        <f>ROUND(G189 * (1 + 25.92 / 100), 2)</f>
        <v>97.2</v>
      </c>
      <c r="K189" s="497">
        <f t="shared" si="55"/>
        <v>1411.91</v>
      </c>
      <c r="L189" s="497">
        <f t="shared" si="56"/>
        <v>8348.92</v>
      </c>
      <c r="M189" s="497">
        <f t="shared" si="57"/>
        <v>9760.83</v>
      </c>
      <c r="N189" s="509">
        <f t="shared" si="37"/>
        <v>5.7150713359419483E-3</v>
      </c>
      <c r="O189" s="528">
        <f t="shared" si="35"/>
        <v>9760.83</v>
      </c>
      <c r="P189" s="528" t="str">
        <f t="shared" si="36"/>
        <v>OK</v>
      </c>
      <c r="R189">
        <f t="shared" si="38"/>
        <v>7751.42</v>
      </c>
    </row>
    <row r="190" spans="1:18">
      <c r="A190" s="488" t="s">
        <v>4744</v>
      </c>
      <c r="B190" s="488" t="s">
        <v>4745</v>
      </c>
      <c r="C190" s="488" t="s">
        <v>4475</v>
      </c>
      <c r="D190" s="491" t="s">
        <v>1752</v>
      </c>
      <c r="E190" s="488" t="s">
        <v>2114</v>
      </c>
      <c r="F190" s="488">
        <v>777.2</v>
      </c>
      <c r="G190" s="497">
        <v>14.38</v>
      </c>
      <c r="H190" s="497">
        <v>0</v>
      </c>
      <c r="I190" s="497">
        <v>18.11</v>
      </c>
      <c r="J190" s="497">
        <f>ROUND(G190 * (1 + 25.92 / 100), 2)</f>
        <v>18.11</v>
      </c>
      <c r="K190" s="497">
        <f t="shared" si="55"/>
        <v>0</v>
      </c>
      <c r="L190" s="497">
        <f t="shared" si="56"/>
        <v>14075.09</v>
      </c>
      <c r="M190" s="497">
        <f t="shared" si="57"/>
        <v>14075.09</v>
      </c>
      <c r="N190" s="509">
        <f t="shared" si="37"/>
        <v>8.2411171396083276E-3</v>
      </c>
      <c r="O190" s="528">
        <f t="shared" si="35"/>
        <v>14075.09</v>
      </c>
      <c r="P190" s="528" t="str">
        <f t="shared" si="36"/>
        <v>OK</v>
      </c>
      <c r="R190">
        <f t="shared" si="38"/>
        <v>11176.14</v>
      </c>
    </row>
    <row r="191" spans="1:18">
      <c r="A191" s="494" t="s">
        <v>4746</v>
      </c>
      <c r="B191" s="494"/>
      <c r="C191" s="494"/>
      <c r="D191" s="490" t="s">
        <v>1755</v>
      </c>
      <c r="E191" s="494"/>
      <c r="F191" s="494"/>
      <c r="G191" s="494"/>
      <c r="H191" s="494"/>
      <c r="I191" s="494"/>
      <c r="J191" s="494"/>
      <c r="K191" s="494"/>
      <c r="L191" s="494"/>
      <c r="M191" s="495">
        <f>ROUND((SUM(M192:M202)),2)</f>
        <v>202798.26</v>
      </c>
      <c r="N191" s="496">
        <f t="shared" si="37"/>
        <v>0.11874057049501964</v>
      </c>
      <c r="O191" s="528">
        <f t="shared" si="35"/>
        <v>0</v>
      </c>
      <c r="P191" s="528" t="str">
        <f t="shared" si="36"/>
        <v>NÃO</v>
      </c>
      <c r="R191">
        <f t="shared" si="38"/>
        <v>0</v>
      </c>
    </row>
    <row r="192" spans="1:18" ht="26.4">
      <c r="A192" s="488" t="s">
        <v>4747</v>
      </c>
      <c r="B192" s="488" t="s">
        <v>4748</v>
      </c>
      <c r="C192" s="488" t="s">
        <v>4475</v>
      </c>
      <c r="D192" s="491" t="s">
        <v>1764</v>
      </c>
      <c r="E192" s="488" t="s">
        <v>3040</v>
      </c>
      <c r="F192" s="488">
        <v>18.899999999999999</v>
      </c>
      <c r="G192" s="497">
        <v>36.33</v>
      </c>
      <c r="H192" s="497">
        <v>12.03</v>
      </c>
      <c r="I192" s="497">
        <v>33.72</v>
      </c>
      <c r="J192" s="497">
        <f t="shared" ref="J192:J202" si="58">ROUND(G192 * (1 + 25.92 / 100), 2)</f>
        <v>45.75</v>
      </c>
      <c r="K192" s="497">
        <f t="shared" ref="K192:K202" si="59">ROUND(F192 * H192, 2)</f>
        <v>227.37</v>
      </c>
      <c r="L192" s="497">
        <f t="shared" ref="L192:L202" si="60">ROUND(F192 * I192, 2)</f>
        <v>637.30999999999995</v>
      </c>
      <c r="M192" s="497">
        <f t="shared" si="57"/>
        <v>864.68</v>
      </c>
      <c r="N192" s="509">
        <f t="shared" si="37"/>
        <v>5.0627947446705689E-4</v>
      </c>
      <c r="O192" s="528">
        <f t="shared" si="35"/>
        <v>864.68</v>
      </c>
      <c r="P192" s="528" t="str">
        <f t="shared" si="36"/>
        <v>OK</v>
      </c>
      <c r="R192">
        <f t="shared" si="38"/>
        <v>686.64</v>
      </c>
    </row>
    <row r="193" spans="1:18">
      <c r="A193" s="488" t="s">
        <v>4749</v>
      </c>
      <c r="B193" s="488" t="s">
        <v>4750</v>
      </c>
      <c r="C193" s="488" t="s">
        <v>4475</v>
      </c>
      <c r="D193" s="491" t="s">
        <v>1767</v>
      </c>
      <c r="E193" s="488" t="s">
        <v>3040</v>
      </c>
      <c r="F193" s="488">
        <v>44.88</v>
      </c>
      <c r="G193" s="497">
        <v>45.99</v>
      </c>
      <c r="H193" s="497">
        <v>20.7</v>
      </c>
      <c r="I193" s="497">
        <v>37.21</v>
      </c>
      <c r="J193" s="497">
        <f t="shared" si="58"/>
        <v>57.91</v>
      </c>
      <c r="K193" s="497">
        <f t="shared" si="59"/>
        <v>929.02</v>
      </c>
      <c r="L193" s="497">
        <f t="shared" si="60"/>
        <v>1669.98</v>
      </c>
      <c r="M193" s="497">
        <f t="shared" si="57"/>
        <v>2599</v>
      </c>
      <c r="N193" s="509">
        <f t="shared" si="37"/>
        <v>1.5217425569457846E-3</v>
      </c>
      <c r="O193" s="528">
        <f t="shared" si="35"/>
        <v>2599</v>
      </c>
      <c r="P193" s="528" t="str">
        <f t="shared" si="36"/>
        <v>OK</v>
      </c>
      <c r="R193">
        <f t="shared" si="38"/>
        <v>2064.0300000000002</v>
      </c>
    </row>
    <row r="194" spans="1:18">
      <c r="A194" s="488" t="s">
        <v>4751</v>
      </c>
      <c r="B194" s="488" t="s">
        <v>4752</v>
      </c>
      <c r="C194" s="488" t="s">
        <v>4475</v>
      </c>
      <c r="D194" s="491" t="s">
        <v>1776</v>
      </c>
      <c r="E194" s="488" t="s">
        <v>3040</v>
      </c>
      <c r="F194" s="488">
        <v>5.27</v>
      </c>
      <c r="G194" s="497">
        <v>26.82</v>
      </c>
      <c r="H194" s="497">
        <v>15.8</v>
      </c>
      <c r="I194" s="497">
        <v>17.97</v>
      </c>
      <c r="J194" s="497">
        <f t="shared" si="58"/>
        <v>33.770000000000003</v>
      </c>
      <c r="K194" s="497">
        <f t="shared" si="59"/>
        <v>83.27</v>
      </c>
      <c r="L194" s="497">
        <f t="shared" si="60"/>
        <v>94.7</v>
      </c>
      <c r="M194" s="497">
        <f t="shared" si="57"/>
        <v>177.97</v>
      </c>
      <c r="N194" s="509">
        <f t="shared" si="37"/>
        <v>1.0420335623687621E-4</v>
      </c>
      <c r="O194" s="528">
        <f t="shared" si="35"/>
        <v>177.97</v>
      </c>
      <c r="P194" s="528" t="str">
        <f t="shared" si="36"/>
        <v>OK</v>
      </c>
      <c r="R194">
        <f t="shared" si="38"/>
        <v>141.34</v>
      </c>
    </row>
    <row r="195" spans="1:18" ht="26.4">
      <c r="A195" s="488" t="s">
        <v>4753</v>
      </c>
      <c r="B195" s="488" t="s">
        <v>4754</v>
      </c>
      <c r="C195" s="488" t="s">
        <v>4475</v>
      </c>
      <c r="D195" s="491" t="s">
        <v>1799</v>
      </c>
      <c r="E195" s="488" t="s">
        <v>3040</v>
      </c>
      <c r="F195" s="488">
        <v>3.4</v>
      </c>
      <c r="G195" s="497">
        <v>429.14</v>
      </c>
      <c r="H195" s="497">
        <v>29.86</v>
      </c>
      <c r="I195" s="497">
        <v>510.51</v>
      </c>
      <c r="J195" s="497">
        <f t="shared" si="58"/>
        <v>540.37</v>
      </c>
      <c r="K195" s="497">
        <f t="shared" si="59"/>
        <v>101.52</v>
      </c>
      <c r="L195" s="497">
        <f t="shared" si="60"/>
        <v>1735.73</v>
      </c>
      <c r="M195" s="497">
        <f t="shared" si="57"/>
        <v>1837.25</v>
      </c>
      <c r="N195" s="509">
        <f t="shared" si="37"/>
        <v>1.0757297086374156E-3</v>
      </c>
      <c r="O195" s="528">
        <f t="shared" si="35"/>
        <v>1837.25</v>
      </c>
      <c r="P195" s="528" t="str">
        <f t="shared" si="36"/>
        <v>OK</v>
      </c>
      <c r="R195">
        <f t="shared" si="38"/>
        <v>1459.08</v>
      </c>
    </row>
    <row r="196" spans="1:18">
      <c r="A196" s="488" t="s">
        <v>4755</v>
      </c>
      <c r="B196" s="488" t="s">
        <v>4756</v>
      </c>
      <c r="C196" s="488" t="s">
        <v>4475</v>
      </c>
      <c r="D196" s="491" t="s">
        <v>1803</v>
      </c>
      <c r="E196" s="488" t="s">
        <v>2114</v>
      </c>
      <c r="F196" s="488">
        <v>134.35</v>
      </c>
      <c r="G196" s="497">
        <v>29.15</v>
      </c>
      <c r="H196" s="497">
        <v>3.25</v>
      </c>
      <c r="I196" s="497">
        <v>33.46</v>
      </c>
      <c r="J196" s="497">
        <f t="shared" si="58"/>
        <v>36.71</v>
      </c>
      <c r="K196" s="497">
        <f t="shared" si="59"/>
        <v>436.64</v>
      </c>
      <c r="L196" s="497">
        <f t="shared" si="60"/>
        <v>4495.3500000000004</v>
      </c>
      <c r="M196" s="497">
        <f t="shared" si="57"/>
        <v>4931.99</v>
      </c>
      <c r="N196" s="509">
        <f t="shared" si="37"/>
        <v>2.8877333872377991E-3</v>
      </c>
      <c r="O196" s="528">
        <f t="shared" ref="O196:O259" si="61">K196+L196</f>
        <v>4931.9900000000007</v>
      </c>
      <c r="P196" s="528" t="str">
        <f t="shared" ref="P196:P259" si="62">IF(O196=M196,"OK","NÃO")</f>
        <v>OK</v>
      </c>
      <c r="R196">
        <f t="shared" si="38"/>
        <v>3916.3</v>
      </c>
    </row>
    <row r="197" spans="1:18" ht="26.4">
      <c r="A197" s="488" t="s">
        <v>4757</v>
      </c>
      <c r="B197" s="488" t="s">
        <v>4758</v>
      </c>
      <c r="C197" s="488" t="s">
        <v>4475</v>
      </c>
      <c r="D197" s="491" t="s">
        <v>1805</v>
      </c>
      <c r="E197" s="488" t="s">
        <v>3040</v>
      </c>
      <c r="F197" s="488">
        <v>18.899999999999999</v>
      </c>
      <c r="G197" s="497">
        <v>84.78</v>
      </c>
      <c r="H197" s="497">
        <v>19.920000000000002</v>
      </c>
      <c r="I197" s="497">
        <v>86.83</v>
      </c>
      <c r="J197" s="497">
        <f t="shared" si="58"/>
        <v>106.75</v>
      </c>
      <c r="K197" s="497">
        <f t="shared" si="59"/>
        <v>376.49</v>
      </c>
      <c r="L197" s="497">
        <f t="shared" si="60"/>
        <v>1641.09</v>
      </c>
      <c r="M197" s="497">
        <f t="shared" si="57"/>
        <v>2017.58</v>
      </c>
      <c r="N197" s="509">
        <f t="shared" si="37"/>
        <v>1.1813148703511643E-3</v>
      </c>
      <c r="O197" s="528">
        <f t="shared" si="61"/>
        <v>2017.58</v>
      </c>
      <c r="P197" s="528" t="str">
        <f t="shared" si="62"/>
        <v>OK</v>
      </c>
      <c r="R197">
        <f t="shared" si="38"/>
        <v>1602.34</v>
      </c>
    </row>
    <row r="198" spans="1:18">
      <c r="A198" s="488" t="s">
        <v>4759</v>
      </c>
      <c r="B198" s="488" t="s">
        <v>4760</v>
      </c>
      <c r="C198" s="488" t="s">
        <v>4475</v>
      </c>
      <c r="D198" s="491" t="s">
        <v>1806</v>
      </c>
      <c r="E198" s="488" t="s">
        <v>2114</v>
      </c>
      <c r="F198" s="488">
        <v>16</v>
      </c>
      <c r="G198" s="497">
        <v>19.2</v>
      </c>
      <c r="H198" s="497">
        <v>0</v>
      </c>
      <c r="I198" s="497">
        <v>24.18</v>
      </c>
      <c r="J198" s="497">
        <f t="shared" si="58"/>
        <v>24.18</v>
      </c>
      <c r="K198" s="497">
        <f t="shared" si="59"/>
        <v>0</v>
      </c>
      <c r="L198" s="497">
        <f t="shared" si="60"/>
        <v>386.88</v>
      </c>
      <c r="M198" s="497">
        <f t="shared" si="57"/>
        <v>386.88</v>
      </c>
      <c r="N198" s="509">
        <f t="shared" si="37"/>
        <v>2.2652241647987115E-4</v>
      </c>
      <c r="O198" s="528">
        <f t="shared" si="61"/>
        <v>386.88</v>
      </c>
      <c r="P198" s="528" t="str">
        <f t="shared" si="62"/>
        <v>OK</v>
      </c>
      <c r="R198">
        <f t="shared" si="38"/>
        <v>307.2</v>
      </c>
    </row>
    <row r="199" spans="1:18">
      <c r="A199" s="488" t="s">
        <v>4761</v>
      </c>
      <c r="B199" s="488" t="s">
        <v>4762</v>
      </c>
      <c r="C199" s="488" t="s">
        <v>4475</v>
      </c>
      <c r="D199" s="491" t="s">
        <v>1807</v>
      </c>
      <c r="E199" s="488" t="s">
        <v>3040</v>
      </c>
      <c r="F199" s="488">
        <v>1194.52</v>
      </c>
      <c r="G199" s="497">
        <v>38.01</v>
      </c>
      <c r="H199" s="497">
        <v>0</v>
      </c>
      <c r="I199" s="497">
        <v>47.86</v>
      </c>
      <c r="J199" s="497">
        <f t="shared" si="58"/>
        <v>47.86</v>
      </c>
      <c r="K199" s="497">
        <f t="shared" si="59"/>
        <v>0</v>
      </c>
      <c r="L199" s="497">
        <f t="shared" si="60"/>
        <v>57169.73</v>
      </c>
      <c r="M199" s="497">
        <f t="shared" si="57"/>
        <v>57169.73</v>
      </c>
      <c r="N199" s="509">
        <f t="shared" si="37"/>
        <v>3.3473494078530258E-2</v>
      </c>
      <c r="O199" s="528">
        <f t="shared" si="61"/>
        <v>57169.73</v>
      </c>
      <c r="P199" s="528" t="str">
        <f t="shared" si="62"/>
        <v>OK</v>
      </c>
      <c r="R199">
        <f t="shared" si="38"/>
        <v>45403.71</v>
      </c>
    </row>
    <row r="200" spans="1:18">
      <c r="A200" s="488" t="s">
        <v>4286</v>
      </c>
      <c r="B200" s="488" t="s">
        <v>4887</v>
      </c>
      <c r="C200" s="488" t="s">
        <v>4144</v>
      </c>
      <c r="D200" s="491" t="s">
        <v>3113</v>
      </c>
      <c r="E200" s="488" t="s">
        <v>3040</v>
      </c>
      <c r="F200" s="488">
        <v>399.15</v>
      </c>
      <c r="G200" s="497">
        <v>2.39</v>
      </c>
      <c r="H200" s="497">
        <v>2.83</v>
      </c>
      <c r="I200" s="497">
        <v>0.18</v>
      </c>
      <c r="J200" s="497">
        <f t="shared" si="58"/>
        <v>3.01</v>
      </c>
      <c r="K200" s="497">
        <f t="shared" si="59"/>
        <v>1129.5899999999999</v>
      </c>
      <c r="L200" s="497">
        <f t="shared" si="60"/>
        <v>71.849999999999994</v>
      </c>
      <c r="M200" s="497">
        <f t="shared" si="57"/>
        <v>1201.44</v>
      </c>
      <c r="N200" s="509">
        <f t="shared" si="37"/>
        <v>7.034560898872426E-4</v>
      </c>
      <c r="O200" s="528">
        <f t="shared" si="61"/>
        <v>1201.4399999999998</v>
      </c>
      <c r="P200" s="528" t="str">
        <f t="shared" si="62"/>
        <v>OK</v>
      </c>
      <c r="R200">
        <f t="shared" si="38"/>
        <v>953.97</v>
      </c>
    </row>
    <row r="201" spans="1:18">
      <c r="A201" s="488" t="s">
        <v>4292</v>
      </c>
      <c r="B201" s="488" t="s">
        <v>4888</v>
      </c>
      <c r="C201" s="488" t="s">
        <v>4144</v>
      </c>
      <c r="D201" s="491" t="s">
        <v>3388</v>
      </c>
      <c r="E201" s="488" t="s">
        <v>3040</v>
      </c>
      <c r="F201" s="488">
        <v>399.15</v>
      </c>
      <c r="G201" s="497">
        <v>55.88</v>
      </c>
      <c r="H201" s="497">
        <v>5.18</v>
      </c>
      <c r="I201" s="497">
        <v>65.180000000000007</v>
      </c>
      <c r="J201" s="497">
        <f t="shared" si="58"/>
        <v>70.36</v>
      </c>
      <c r="K201" s="497">
        <f t="shared" si="59"/>
        <v>2067.6</v>
      </c>
      <c r="L201" s="497">
        <f t="shared" si="60"/>
        <v>26016.6</v>
      </c>
      <c r="M201" s="497">
        <f t="shared" si="57"/>
        <v>28084.2</v>
      </c>
      <c r="N201" s="509">
        <f t="shared" si="37"/>
        <v>1.6443602276943751E-2</v>
      </c>
      <c r="O201" s="528">
        <f t="shared" si="61"/>
        <v>28084.199999999997</v>
      </c>
      <c r="P201" s="528" t="str">
        <f t="shared" si="62"/>
        <v>OK</v>
      </c>
      <c r="R201">
        <f t="shared" si="38"/>
        <v>22304.5</v>
      </c>
    </row>
    <row r="202" spans="1:18" ht="26.4">
      <c r="A202" s="488" t="s">
        <v>4763</v>
      </c>
      <c r="B202" s="488" t="s">
        <v>4764</v>
      </c>
      <c r="C202" s="488" t="s">
        <v>4155</v>
      </c>
      <c r="D202" s="491" t="s">
        <v>4765</v>
      </c>
      <c r="E202" s="488" t="s">
        <v>3040</v>
      </c>
      <c r="F202" s="488">
        <v>399.15</v>
      </c>
      <c r="G202" s="497">
        <v>205.98</v>
      </c>
      <c r="H202" s="497">
        <f>ROUND((4.07*1.2592),2)</f>
        <v>5.12</v>
      </c>
      <c r="I202" s="497">
        <f>ROUND((201.91*1.2592),2)</f>
        <v>254.25</v>
      </c>
      <c r="J202" s="497">
        <f t="shared" si="58"/>
        <v>259.37</v>
      </c>
      <c r="K202" s="497">
        <f t="shared" si="59"/>
        <v>2043.65</v>
      </c>
      <c r="L202" s="497">
        <f t="shared" si="60"/>
        <v>101483.89</v>
      </c>
      <c r="M202" s="497">
        <f t="shared" si="57"/>
        <v>103527.54</v>
      </c>
      <c r="N202" s="509">
        <f t="shared" si="37"/>
        <v>6.0616492279302416E-2</v>
      </c>
      <c r="O202" s="528">
        <f t="shared" si="61"/>
        <v>103527.54</v>
      </c>
      <c r="P202" s="528" t="str">
        <f t="shared" si="62"/>
        <v>OK</v>
      </c>
      <c r="R202">
        <f t="shared" si="38"/>
        <v>82216.92</v>
      </c>
    </row>
    <row r="203" spans="1:18">
      <c r="A203" s="494" t="s">
        <v>4766</v>
      </c>
      <c r="B203" s="494"/>
      <c r="C203" s="494"/>
      <c r="D203" s="490" t="s">
        <v>1816</v>
      </c>
      <c r="E203" s="494"/>
      <c r="F203" s="494"/>
      <c r="G203" s="494"/>
      <c r="H203" s="494"/>
      <c r="I203" s="494"/>
      <c r="J203" s="494"/>
      <c r="K203" s="494"/>
      <c r="L203" s="494"/>
      <c r="M203" s="495">
        <f>ROUND((SUM(M204)),2)</f>
        <v>2125.65</v>
      </c>
      <c r="N203" s="496">
        <f t="shared" si="37"/>
        <v>1.2445910219976172E-3</v>
      </c>
      <c r="O203" s="528">
        <f t="shared" si="61"/>
        <v>0</v>
      </c>
      <c r="P203" s="528" t="str">
        <f t="shared" si="62"/>
        <v>NÃO</v>
      </c>
      <c r="R203">
        <f t="shared" si="38"/>
        <v>0</v>
      </c>
    </row>
    <row r="204" spans="1:18" ht="39.6">
      <c r="A204" s="488" t="s">
        <v>4767</v>
      </c>
      <c r="B204" s="488" t="s">
        <v>4768</v>
      </c>
      <c r="C204" s="488" t="s">
        <v>4155</v>
      </c>
      <c r="D204" s="491" t="s">
        <v>4769</v>
      </c>
      <c r="E204" s="488" t="s">
        <v>2477</v>
      </c>
      <c r="F204" s="488">
        <v>15</v>
      </c>
      <c r="G204" s="497">
        <v>112.54</v>
      </c>
      <c r="H204" s="497">
        <f>ROUND((17.44*1.2592),2)</f>
        <v>21.96</v>
      </c>
      <c r="I204" s="497">
        <f>ROUND((95.1*1.2592),2)</f>
        <v>119.75</v>
      </c>
      <c r="J204" s="497">
        <f>ROUND(G204 * (1 + 25.92 / 100), 2)</f>
        <v>141.71</v>
      </c>
      <c r="K204" s="497">
        <f t="shared" ref="K204" si="63">ROUND(F204 * H204, 2)</f>
        <v>329.4</v>
      </c>
      <c r="L204" s="497">
        <f t="shared" ref="L204" si="64">ROUND(F204 * I204, 2)</f>
        <v>1796.25</v>
      </c>
      <c r="M204" s="497">
        <f t="shared" si="57"/>
        <v>2125.65</v>
      </c>
      <c r="N204" s="509">
        <f t="shared" si="37"/>
        <v>1.2445910219976172E-3</v>
      </c>
      <c r="O204" s="528">
        <f t="shared" si="61"/>
        <v>2125.65</v>
      </c>
      <c r="P204" s="528" t="str">
        <f t="shared" si="62"/>
        <v>OK</v>
      </c>
      <c r="R204">
        <f t="shared" si="38"/>
        <v>1688.1</v>
      </c>
    </row>
    <row r="205" spans="1:18">
      <c r="A205" s="494" t="s">
        <v>4770</v>
      </c>
      <c r="B205" s="494"/>
      <c r="C205" s="494"/>
      <c r="D205" s="490" t="s">
        <v>1854</v>
      </c>
      <c r="E205" s="494"/>
      <c r="F205" s="494"/>
      <c r="G205" s="494"/>
      <c r="H205" s="494"/>
      <c r="I205" s="494"/>
      <c r="J205" s="494"/>
      <c r="K205" s="494"/>
      <c r="L205" s="494"/>
      <c r="M205" s="495">
        <f>ROUND((SUM(M206:M207)),2)</f>
        <v>51654.239999999998</v>
      </c>
      <c r="N205" s="496">
        <f t="shared" si="37"/>
        <v>3.0244115142243642E-2</v>
      </c>
      <c r="O205" s="528">
        <f t="shared" si="61"/>
        <v>0</v>
      </c>
      <c r="P205" s="528" t="str">
        <f t="shared" si="62"/>
        <v>NÃO</v>
      </c>
      <c r="R205">
        <f t="shared" si="38"/>
        <v>0</v>
      </c>
    </row>
    <row r="206" spans="1:18">
      <c r="A206" s="488" t="s">
        <v>4771</v>
      </c>
      <c r="B206" s="488" t="s">
        <v>4772</v>
      </c>
      <c r="C206" s="488" t="s">
        <v>4475</v>
      </c>
      <c r="D206" s="491" t="s">
        <v>1855</v>
      </c>
      <c r="E206" s="488" t="s">
        <v>4157</v>
      </c>
      <c r="F206" s="488">
        <v>176</v>
      </c>
      <c r="G206" s="497">
        <v>78.12</v>
      </c>
      <c r="H206" s="497">
        <v>98.37</v>
      </c>
      <c r="I206" s="497">
        <v>0</v>
      </c>
      <c r="J206" s="497">
        <f>ROUND(G206 * (1 + 25.92 / 100), 2)</f>
        <v>98.37</v>
      </c>
      <c r="K206" s="497">
        <f t="shared" ref="K206:K207" si="65">ROUND(F206 * H206, 2)</f>
        <v>17313.12</v>
      </c>
      <c r="L206" s="497">
        <f t="shared" ref="L206:L207" si="66">ROUND(F206 * I206, 2)</f>
        <v>0</v>
      </c>
      <c r="M206" s="497">
        <f t="shared" si="57"/>
        <v>17313.12</v>
      </c>
      <c r="N206" s="509">
        <f t="shared" si="37"/>
        <v>1.0137018660065103E-2</v>
      </c>
      <c r="O206" s="528">
        <f t="shared" si="61"/>
        <v>17313.12</v>
      </c>
      <c r="P206" s="528" t="str">
        <f t="shared" si="62"/>
        <v>OK</v>
      </c>
      <c r="R206">
        <f t="shared" si="38"/>
        <v>13749.12</v>
      </c>
    </row>
    <row r="207" spans="1:18">
      <c r="A207" s="488" t="s">
        <v>4773</v>
      </c>
      <c r="B207" s="488" t="s">
        <v>4774</v>
      </c>
      <c r="C207" s="488" t="s">
        <v>4475</v>
      </c>
      <c r="D207" s="491" t="s">
        <v>1856</v>
      </c>
      <c r="E207" s="488" t="s">
        <v>4157</v>
      </c>
      <c r="F207" s="488">
        <v>704</v>
      </c>
      <c r="G207" s="497">
        <v>38.74</v>
      </c>
      <c r="H207" s="497">
        <v>48.78</v>
      </c>
      <c r="I207" s="497">
        <v>0</v>
      </c>
      <c r="J207" s="497">
        <f>ROUND(G207 * (1 + 25.92 / 100), 2)</f>
        <v>48.78</v>
      </c>
      <c r="K207" s="497">
        <f t="shared" si="65"/>
        <v>34341.120000000003</v>
      </c>
      <c r="L207" s="497">
        <f t="shared" si="66"/>
        <v>0</v>
      </c>
      <c r="M207" s="497">
        <f t="shared" si="57"/>
        <v>34341.120000000003</v>
      </c>
      <c r="N207" s="509">
        <f t="shared" si="37"/>
        <v>2.0107096482178542E-2</v>
      </c>
      <c r="O207" s="528">
        <f t="shared" si="61"/>
        <v>34341.120000000003</v>
      </c>
      <c r="P207" s="528" t="str">
        <f t="shared" si="62"/>
        <v>OK</v>
      </c>
      <c r="R207">
        <f t="shared" si="38"/>
        <v>27272.959999999999</v>
      </c>
    </row>
    <row r="208" spans="1:18">
      <c r="A208" s="494" t="s">
        <v>4775</v>
      </c>
      <c r="B208" s="494"/>
      <c r="C208" s="494"/>
      <c r="D208" s="490" t="s">
        <v>1866</v>
      </c>
      <c r="E208" s="494"/>
      <c r="F208" s="494"/>
      <c r="G208" s="494"/>
      <c r="H208" s="494"/>
      <c r="I208" s="494"/>
      <c r="J208" s="494"/>
      <c r="K208" s="494"/>
      <c r="L208" s="494"/>
      <c r="M208" s="495">
        <f>ROUND((SUM(M209:M215)),2)</f>
        <v>124143.92</v>
      </c>
      <c r="N208" s="496">
        <f t="shared" si="37"/>
        <v>7.2687605329000746E-2</v>
      </c>
      <c r="O208" s="528">
        <f t="shared" si="61"/>
        <v>0</v>
      </c>
      <c r="P208" s="528" t="str">
        <f t="shared" si="62"/>
        <v>NÃO</v>
      </c>
      <c r="R208">
        <f t="shared" si="38"/>
        <v>0</v>
      </c>
    </row>
    <row r="209" spans="1:18">
      <c r="A209" s="488" t="s">
        <v>4776</v>
      </c>
      <c r="B209" s="488" t="s">
        <v>4777</v>
      </c>
      <c r="C209" s="488" t="s">
        <v>4475</v>
      </c>
      <c r="D209" s="491" t="s">
        <v>1881</v>
      </c>
      <c r="E209" s="488" t="s">
        <v>3040</v>
      </c>
      <c r="F209" s="488">
        <v>4399.99</v>
      </c>
      <c r="G209" s="497">
        <v>11.2</v>
      </c>
      <c r="H209" s="497">
        <v>8.6300000000000008</v>
      </c>
      <c r="I209" s="497">
        <v>5.47</v>
      </c>
      <c r="J209" s="497">
        <f t="shared" ref="J209:J215" si="67">ROUND(G209 * (1 + 25.92 / 100), 2)</f>
        <v>14.1</v>
      </c>
      <c r="K209" s="497">
        <f t="shared" ref="K209:K215" si="68">ROUND(F209 * H209, 2)</f>
        <v>37971.910000000003</v>
      </c>
      <c r="L209" s="497">
        <f t="shared" ref="L209:L215" si="69">ROUND(F209 * I209, 2)</f>
        <v>24067.95</v>
      </c>
      <c r="M209" s="497">
        <f t="shared" si="57"/>
        <v>62039.86</v>
      </c>
      <c r="N209" s="509">
        <f t="shared" si="37"/>
        <v>3.632500776797172E-2</v>
      </c>
      <c r="O209" s="528">
        <f t="shared" si="61"/>
        <v>62039.86</v>
      </c>
      <c r="P209" s="528" t="str">
        <f t="shared" si="62"/>
        <v>OK</v>
      </c>
      <c r="R209">
        <f t="shared" si="38"/>
        <v>49279.89</v>
      </c>
    </row>
    <row r="210" spans="1:18">
      <c r="A210" s="488" t="s">
        <v>4778</v>
      </c>
      <c r="B210" s="488" t="s">
        <v>4779</v>
      </c>
      <c r="C210" s="488" t="s">
        <v>4475</v>
      </c>
      <c r="D210" s="491" t="s">
        <v>1889</v>
      </c>
      <c r="E210" s="488" t="s">
        <v>3040</v>
      </c>
      <c r="F210" s="488">
        <v>1963.55</v>
      </c>
      <c r="G210" s="497">
        <v>10.54</v>
      </c>
      <c r="H210" s="497">
        <v>10.55</v>
      </c>
      <c r="I210" s="497">
        <v>2.72</v>
      </c>
      <c r="J210" s="497">
        <f t="shared" si="67"/>
        <v>13.27</v>
      </c>
      <c r="K210" s="497">
        <f t="shared" si="68"/>
        <v>20715.45</v>
      </c>
      <c r="L210" s="497">
        <f t="shared" si="69"/>
        <v>5340.86</v>
      </c>
      <c r="M210" s="497">
        <f t="shared" si="57"/>
        <v>26056.31</v>
      </c>
      <c r="N210" s="509">
        <f t="shared" si="37"/>
        <v>1.5256250790293198E-2</v>
      </c>
      <c r="O210" s="528">
        <f t="shared" si="61"/>
        <v>26056.31</v>
      </c>
      <c r="P210" s="528" t="str">
        <f t="shared" si="62"/>
        <v>OK</v>
      </c>
      <c r="R210">
        <f t="shared" si="38"/>
        <v>20695.82</v>
      </c>
    </row>
    <row r="211" spans="1:18" ht="26.4">
      <c r="A211" s="488" t="s">
        <v>4780</v>
      </c>
      <c r="B211" s="488" t="s">
        <v>4781</v>
      </c>
      <c r="C211" s="488" t="s">
        <v>4475</v>
      </c>
      <c r="D211" s="491" t="s">
        <v>1901</v>
      </c>
      <c r="E211" s="488" t="s">
        <v>3040</v>
      </c>
      <c r="F211" s="488">
        <v>8.6300000000000008</v>
      </c>
      <c r="G211" s="497">
        <v>15.87</v>
      </c>
      <c r="H211" s="497">
        <v>14</v>
      </c>
      <c r="I211" s="497">
        <v>5.98</v>
      </c>
      <c r="J211" s="497">
        <f t="shared" si="67"/>
        <v>19.98</v>
      </c>
      <c r="K211" s="497">
        <f t="shared" si="68"/>
        <v>120.82</v>
      </c>
      <c r="L211" s="497">
        <f t="shared" si="69"/>
        <v>51.61</v>
      </c>
      <c r="M211" s="497">
        <f t="shared" si="57"/>
        <v>172.43</v>
      </c>
      <c r="N211" s="509">
        <f t="shared" si="37"/>
        <v>1.0095962643099717E-4</v>
      </c>
      <c r="O211" s="528">
        <f t="shared" si="61"/>
        <v>172.43</v>
      </c>
      <c r="P211" s="528" t="str">
        <f t="shared" si="62"/>
        <v>OK</v>
      </c>
      <c r="R211">
        <f t="shared" si="38"/>
        <v>136.96</v>
      </c>
    </row>
    <row r="212" spans="1:18" ht="26.4">
      <c r="A212" s="488" t="s">
        <v>4782</v>
      </c>
      <c r="B212" s="488" t="s">
        <v>4783</v>
      </c>
      <c r="C212" s="488" t="s">
        <v>4475</v>
      </c>
      <c r="D212" s="491" t="s">
        <v>1904</v>
      </c>
      <c r="E212" s="488" t="s">
        <v>3040</v>
      </c>
      <c r="F212" s="488">
        <v>157.46</v>
      </c>
      <c r="G212" s="497">
        <v>15.38</v>
      </c>
      <c r="H212" s="497">
        <v>9.75</v>
      </c>
      <c r="I212" s="497">
        <v>9.6199999999999992</v>
      </c>
      <c r="J212" s="497">
        <f t="shared" si="67"/>
        <v>19.37</v>
      </c>
      <c r="K212" s="497">
        <f t="shared" si="68"/>
        <v>1535.24</v>
      </c>
      <c r="L212" s="497">
        <f t="shared" si="69"/>
        <v>1514.77</v>
      </c>
      <c r="M212" s="497">
        <f t="shared" si="57"/>
        <v>3050.01</v>
      </c>
      <c r="N212" s="509">
        <f t="shared" si="37"/>
        <v>1.7858137807272847E-3</v>
      </c>
      <c r="O212" s="528">
        <f t="shared" si="61"/>
        <v>3050.01</v>
      </c>
      <c r="P212" s="528" t="str">
        <f t="shared" si="62"/>
        <v>OK</v>
      </c>
      <c r="R212">
        <f t="shared" si="38"/>
        <v>2421.73</v>
      </c>
    </row>
    <row r="213" spans="1:18">
      <c r="A213" s="488" t="s">
        <v>4784</v>
      </c>
      <c r="B213" s="488" t="s">
        <v>4785</v>
      </c>
      <c r="C213" s="488" t="s">
        <v>4475</v>
      </c>
      <c r="D213" s="491" t="s">
        <v>1911</v>
      </c>
      <c r="E213" s="488" t="s">
        <v>3040</v>
      </c>
      <c r="F213" s="488">
        <v>844.33</v>
      </c>
      <c r="G213" s="497">
        <v>13.07</v>
      </c>
      <c r="H213" s="497">
        <v>4.3099999999999996</v>
      </c>
      <c r="I213" s="497">
        <v>12.15</v>
      </c>
      <c r="J213" s="497">
        <f t="shared" si="67"/>
        <v>16.46</v>
      </c>
      <c r="K213" s="497">
        <f t="shared" si="68"/>
        <v>3639.06</v>
      </c>
      <c r="L213" s="497">
        <f t="shared" si="69"/>
        <v>10258.61</v>
      </c>
      <c r="M213" s="497">
        <f t="shared" si="57"/>
        <v>13897.67</v>
      </c>
      <c r="N213" s="509">
        <f t="shared" si="37"/>
        <v>8.1372358143088578E-3</v>
      </c>
      <c r="O213" s="528">
        <f t="shared" si="61"/>
        <v>13897.67</v>
      </c>
      <c r="P213" s="528" t="str">
        <f t="shared" si="62"/>
        <v>OK</v>
      </c>
      <c r="R213">
        <f t="shared" si="38"/>
        <v>11035.39</v>
      </c>
    </row>
    <row r="214" spans="1:18">
      <c r="A214" s="488" t="s">
        <v>4786</v>
      </c>
      <c r="B214" s="488" t="s">
        <v>4787</v>
      </c>
      <c r="C214" s="488" t="s">
        <v>4475</v>
      </c>
      <c r="D214" s="491" t="s">
        <v>1917</v>
      </c>
      <c r="E214" s="488" t="s">
        <v>3040</v>
      </c>
      <c r="F214" s="488">
        <v>1197.42</v>
      </c>
      <c r="G214" s="497">
        <v>11.67</v>
      </c>
      <c r="H214" s="497">
        <v>9.75</v>
      </c>
      <c r="I214" s="497">
        <v>4.9400000000000004</v>
      </c>
      <c r="J214" s="497">
        <f t="shared" si="67"/>
        <v>14.69</v>
      </c>
      <c r="K214" s="497">
        <f t="shared" si="68"/>
        <v>11674.85</v>
      </c>
      <c r="L214" s="497">
        <f t="shared" si="69"/>
        <v>5915.25</v>
      </c>
      <c r="M214" s="497">
        <f t="shared" si="57"/>
        <v>17590.099999999999</v>
      </c>
      <c r="N214" s="509">
        <f t="shared" ref="N214:N269" si="70">M214 / $L$274</f>
        <v>1.0299193440143149E-2</v>
      </c>
      <c r="O214" s="528">
        <f t="shared" si="61"/>
        <v>17590.099999999999</v>
      </c>
      <c r="P214" s="528" t="str">
        <f t="shared" si="62"/>
        <v>OK</v>
      </c>
      <c r="R214">
        <f t="shared" si="38"/>
        <v>13973.89</v>
      </c>
    </row>
    <row r="215" spans="1:18" ht="26.4">
      <c r="A215" s="488" t="s">
        <v>4788</v>
      </c>
      <c r="B215" s="488" t="s">
        <v>4789</v>
      </c>
      <c r="C215" s="488" t="s">
        <v>4155</v>
      </c>
      <c r="D215" s="491" t="s">
        <v>3350</v>
      </c>
      <c r="E215" s="488" t="s">
        <v>3040</v>
      </c>
      <c r="F215" s="488">
        <v>37.01</v>
      </c>
      <c r="G215" s="497">
        <v>28.7</v>
      </c>
      <c r="H215" s="497">
        <f>ROUND((8.22*1.2592),2)</f>
        <v>10.35</v>
      </c>
      <c r="I215" s="497">
        <f>ROUND((20.48*1.2592),2)</f>
        <v>25.79</v>
      </c>
      <c r="J215" s="497">
        <f t="shared" si="67"/>
        <v>36.14</v>
      </c>
      <c r="K215" s="497">
        <f t="shared" si="68"/>
        <v>383.05</v>
      </c>
      <c r="L215" s="497">
        <f t="shared" si="69"/>
        <v>954.49</v>
      </c>
      <c r="M215" s="497">
        <f t="shared" si="57"/>
        <v>1337.54</v>
      </c>
      <c r="N215" s="509">
        <f t="shared" si="70"/>
        <v>7.8314410912553472E-4</v>
      </c>
      <c r="O215" s="528">
        <f t="shared" si="61"/>
        <v>1337.54</v>
      </c>
      <c r="P215" s="528" t="str">
        <f t="shared" si="62"/>
        <v>OK</v>
      </c>
      <c r="R215">
        <f t="shared" ref="R215:R269" si="71">ROUND((F215*G215),2)</f>
        <v>1062.19</v>
      </c>
    </row>
    <row r="216" spans="1:18">
      <c r="A216" s="494" t="s">
        <v>4790</v>
      </c>
      <c r="B216" s="494"/>
      <c r="C216" s="494"/>
      <c r="D216" s="490" t="s">
        <v>1918</v>
      </c>
      <c r="E216" s="494"/>
      <c r="F216" s="494"/>
      <c r="G216" s="494"/>
      <c r="H216" s="494"/>
      <c r="I216" s="494"/>
      <c r="J216" s="494"/>
      <c r="K216" s="494"/>
      <c r="L216" s="494"/>
      <c r="M216" s="495">
        <f>ROUND((SUM(M217:M240)),2)</f>
        <v>81213.53</v>
      </c>
      <c r="N216" s="496">
        <f t="shared" si="70"/>
        <v>4.7551398538204379E-2</v>
      </c>
      <c r="O216" s="528">
        <f t="shared" si="61"/>
        <v>0</v>
      </c>
      <c r="P216" s="528" t="str">
        <f t="shared" si="62"/>
        <v>NÃO</v>
      </c>
      <c r="R216">
        <f t="shared" si="71"/>
        <v>0</v>
      </c>
    </row>
    <row r="217" spans="1:18">
      <c r="A217" s="488" t="s">
        <v>4791</v>
      </c>
      <c r="B217" s="488" t="s">
        <v>4792</v>
      </c>
      <c r="C217" s="488" t="s">
        <v>4475</v>
      </c>
      <c r="D217" s="491" t="s">
        <v>1933</v>
      </c>
      <c r="E217" s="488" t="s">
        <v>3040</v>
      </c>
      <c r="F217" s="488">
        <v>1597.92</v>
      </c>
      <c r="G217" s="497">
        <v>3.33</v>
      </c>
      <c r="H217" s="497">
        <v>2.1800000000000002</v>
      </c>
      <c r="I217" s="497">
        <v>2.0099999999999998</v>
      </c>
      <c r="J217" s="497">
        <f t="shared" ref="J217:J240" si="72">ROUND(G217 * (1 + 25.92 / 100), 2)</f>
        <v>4.1900000000000004</v>
      </c>
      <c r="K217" s="497">
        <f t="shared" ref="K217:K240" si="73">ROUND(F217 * H217, 2)</f>
        <v>3483.47</v>
      </c>
      <c r="L217" s="497">
        <f t="shared" ref="L217:L240" si="74">ROUND(F217 * I217, 2)</f>
        <v>3211.82</v>
      </c>
      <c r="M217" s="497">
        <f t="shared" si="57"/>
        <v>6695.29</v>
      </c>
      <c r="N217" s="509">
        <f t="shared" si="70"/>
        <v>3.9201645725638872E-3</v>
      </c>
      <c r="O217" s="528">
        <f t="shared" si="61"/>
        <v>6695.29</v>
      </c>
      <c r="P217" s="528" t="str">
        <f t="shared" si="62"/>
        <v>OK</v>
      </c>
      <c r="R217">
        <f t="shared" si="71"/>
        <v>5321.07</v>
      </c>
    </row>
    <row r="218" spans="1:18">
      <c r="A218" s="488" t="s">
        <v>4793</v>
      </c>
      <c r="B218" s="488" t="s">
        <v>4794</v>
      </c>
      <c r="C218" s="488" t="s">
        <v>4475</v>
      </c>
      <c r="D218" s="491" t="s">
        <v>1951</v>
      </c>
      <c r="E218" s="488" t="s">
        <v>2488</v>
      </c>
      <c r="F218" s="488">
        <v>1</v>
      </c>
      <c r="G218" s="497">
        <v>1602.3</v>
      </c>
      <c r="H218" s="497">
        <v>6.07</v>
      </c>
      <c r="I218" s="497">
        <v>2011.55</v>
      </c>
      <c r="J218" s="497">
        <f t="shared" si="72"/>
        <v>2017.62</v>
      </c>
      <c r="K218" s="497">
        <f t="shared" si="73"/>
        <v>6.07</v>
      </c>
      <c r="L218" s="497">
        <f t="shared" si="74"/>
        <v>2011.55</v>
      </c>
      <c r="M218" s="497">
        <f t="shared" si="57"/>
        <v>2017.62</v>
      </c>
      <c r="N218" s="509">
        <f t="shared" si="70"/>
        <v>1.1813382907829757E-3</v>
      </c>
      <c r="O218" s="528">
        <f t="shared" si="61"/>
        <v>2017.62</v>
      </c>
      <c r="P218" s="528" t="str">
        <f t="shared" si="62"/>
        <v>OK</v>
      </c>
      <c r="R218">
        <f t="shared" si="71"/>
        <v>1602.3</v>
      </c>
    </row>
    <row r="219" spans="1:18">
      <c r="A219" s="488" t="s">
        <v>4795</v>
      </c>
      <c r="B219" s="488" t="s">
        <v>4796</v>
      </c>
      <c r="C219" s="488" t="s">
        <v>4475</v>
      </c>
      <c r="D219" s="491" t="s">
        <v>1983</v>
      </c>
      <c r="E219" s="488" t="s">
        <v>4797</v>
      </c>
      <c r="F219" s="488">
        <v>544</v>
      </c>
      <c r="G219" s="497">
        <v>3.33</v>
      </c>
      <c r="H219" s="497">
        <v>0</v>
      </c>
      <c r="I219" s="497">
        <v>4.1900000000000004</v>
      </c>
      <c r="J219" s="497">
        <f t="shared" si="72"/>
        <v>4.1900000000000004</v>
      </c>
      <c r="K219" s="497">
        <f t="shared" si="73"/>
        <v>0</v>
      </c>
      <c r="L219" s="497">
        <f t="shared" si="74"/>
        <v>2279.36</v>
      </c>
      <c r="M219" s="497">
        <f t="shared" si="57"/>
        <v>2279.36</v>
      </c>
      <c r="N219" s="509">
        <f t="shared" si="70"/>
        <v>1.3345898863408787E-3</v>
      </c>
      <c r="O219" s="528">
        <f t="shared" si="61"/>
        <v>2279.36</v>
      </c>
      <c r="P219" s="528" t="str">
        <f t="shared" si="62"/>
        <v>OK</v>
      </c>
      <c r="R219">
        <f t="shared" si="71"/>
        <v>1811.52</v>
      </c>
    </row>
    <row r="220" spans="1:18">
      <c r="A220" s="488" t="s">
        <v>4798</v>
      </c>
      <c r="B220" s="488" t="s">
        <v>4799</v>
      </c>
      <c r="C220" s="488" t="s">
        <v>4475</v>
      </c>
      <c r="D220" s="491" t="s">
        <v>1985</v>
      </c>
      <c r="E220" s="488" t="s">
        <v>4797</v>
      </c>
      <c r="F220" s="488">
        <v>544</v>
      </c>
      <c r="G220" s="497">
        <v>15.9</v>
      </c>
      <c r="H220" s="497">
        <v>0</v>
      </c>
      <c r="I220" s="497">
        <v>20.02</v>
      </c>
      <c r="J220" s="497">
        <f t="shared" si="72"/>
        <v>20.02</v>
      </c>
      <c r="K220" s="497">
        <f t="shared" si="73"/>
        <v>0</v>
      </c>
      <c r="L220" s="497">
        <f t="shared" si="74"/>
        <v>10890.88</v>
      </c>
      <c r="M220" s="497">
        <f t="shared" si="57"/>
        <v>10890.88</v>
      </c>
      <c r="N220" s="509">
        <f t="shared" si="70"/>
        <v>6.3767278101537917E-3</v>
      </c>
      <c r="O220" s="528">
        <f t="shared" si="61"/>
        <v>10890.88</v>
      </c>
      <c r="P220" s="528" t="str">
        <f t="shared" si="62"/>
        <v>OK</v>
      </c>
      <c r="R220">
        <f t="shared" si="71"/>
        <v>8649.6</v>
      </c>
    </row>
    <row r="221" spans="1:18">
      <c r="A221" s="488" t="s">
        <v>4294</v>
      </c>
      <c r="B221" s="488" t="s">
        <v>4889</v>
      </c>
      <c r="C221" s="488" t="s">
        <v>4144</v>
      </c>
      <c r="D221" s="491" t="s">
        <v>4295</v>
      </c>
      <c r="E221" s="488" t="s">
        <v>4157</v>
      </c>
      <c r="F221" s="488">
        <v>160</v>
      </c>
      <c r="G221" s="497">
        <v>13.02</v>
      </c>
      <c r="H221" s="497">
        <v>16.39</v>
      </c>
      <c r="I221" s="497">
        <v>0</v>
      </c>
      <c r="J221" s="497">
        <f t="shared" si="72"/>
        <v>16.39</v>
      </c>
      <c r="K221" s="497">
        <f t="shared" si="73"/>
        <v>2622.4</v>
      </c>
      <c r="L221" s="497">
        <f t="shared" si="74"/>
        <v>0</v>
      </c>
      <c r="M221" s="497">
        <f t="shared" si="57"/>
        <v>2622.4</v>
      </c>
      <c r="N221" s="509">
        <f t="shared" si="70"/>
        <v>1.5354435095554543E-3</v>
      </c>
      <c r="O221" s="528">
        <f t="shared" si="61"/>
        <v>2622.4</v>
      </c>
      <c r="P221" s="528" t="str">
        <f t="shared" si="62"/>
        <v>OK</v>
      </c>
      <c r="R221">
        <f t="shared" si="71"/>
        <v>2083.1999999999998</v>
      </c>
    </row>
    <row r="222" spans="1:18" ht="26.4">
      <c r="A222" s="488" t="s">
        <v>4296</v>
      </c>
      <c r="B222" s="488" t="s">
        <v>4890</v>
      </c>
      <c r="C222" s="488" t="s">
        <v>4144</v>
      </c>
      <c r="D222" s="491" t="s">
        <v>2834</v>
      </c>
      <c r="E222" s="488" t="s">
        <v>2489</v>
      </c>
      <c r="F222" s="488">
        <v>19</v>
      </c>
      <c r="G222" s="497">
        <v>26.81</v>
      </c>
      <c r="H222" s="497">
        <v>2.91</v>
      </c>
      <c r="I222" s="497">
        <v>30.85</v>
      </c>
      <c r="J222" s="497">
        <f t="shared" si="72"/>
        <v>33.76</v>
      </c>
      <c r="K222" s="497">
        <f t="shared" si="73"/>
        <v>55.29</v>
      </c>
      <c r="L222" s="497">
        <f t="shared" si="74"/>
        <v>586.15</v>
      </c>
      <c r="M222" s="497">
        <f t="shared" si="57"/>
        <v>641.44000000000005</v>
      </c>
      <c r="N222" s="509">
        <f t="shared" si="70"/>
        <v>3.7557004452762761E-4</v>
      </c>
      <c r="O222" s="528">
        <f t="shared" si="61"/>
        <v>641.43999999999994</v>
      </c>
      <c r="P222" s="528" t="str">
        <f t="shared" si="62"/>
        <v>OK</v>
      </c>
      <c r="R222">
        <f t="shared" si="71"/>
        <v>509.39</v>
      </c>
    </row>
    <row r="223" spans="1:18" ht="26.4">
      <c r="A223" s="488" t="s">
        <v>4298</v>
      </c>
      <c r="B223" s="488" t="s">
        <v>4891</v>
      </c>
      <c r="C223" s="488" t="s">
        <v>4144</v>
      </c>
      <c r="D223" s="491" t="s">
        <v>2835</v>
      </c>
      <c r="E223" s="488" t="s">
        <v>2489</v>
      </c>
      <c r="F223" s="488">
        <v>7</v>
      </c>
      <c r="G223" s="497">
        <v>19.809999999999999</v>
      </c>
      <c r="H223" s="497">
        <v>2.91</v>
      </c>
      <c r="I223" s="497">
        <v>22.03</v>
      </c>
      <c r="J223" s="497">
        <f t="shared" si="72"/>
        <v>24.94</v>
      </c>
      <c r="K223" s="497">
        <f t="shared" si="73"/>
        <v>20.37</v>
      </c>
      <c r="L223" s="497">
        <f t="shared" si="74"/>
        <v>154.21</v>
      </c>
      <c r="M223" s="497">
        <f t="shared" si="57"/>
        <v>174.58</v>
      </c>
      <c r="N223" s="509">
        <f t="shared" si="70"/>
        <v>1.0221847464085998E-4</v>
      </c>
      <c r="O223" s="528">
        <f t="shared" si="61"/>
        <v>174.58</v>
      </c>
      <c r="P223" s="528" t="str">
        <f t="shared" si="62"/>
        <v>OK</v>
      </c>
      <c r="R223">
        <f t="shared" si="71"/>
        <v>138.66999999999999</v>
      </c>
    </row>
    <row r="224" spans="1:18">
      <c r="A224" s="488" t="s">
        <v>4299</v>
      </c>
      <c r="B224" s="488" t="s">
        <v>4892</v>
      </c>
      <c r="C224" s="488" t="s">
        <v>4144</v>
      </c>
      <c r="D224" s="491" t="s">
        <v>2868</v>
      </c>
      <c r="E224" s="488" t="s">
        <v>2489</v>
      </c>
      <c r="F224" s="488">
        <v>10</v>
      </c>
      <c r="G224" s="497">
        <v>205.24</v>
      </c>
      <c r="H224" s="497">
        <v>19.41</v>
      </c>
      <c r="I224" s="497">
        <v>239.03</v>
      </c>
      <c r="J224" s="497">
        <f t="shared" si="72"/>
        <v>258.44</v>
      </c>
      <c r="K224" s="497">
        <f t="shared" si="73"/>
        <v>194.1</v>
      </c>
      <c r="L224" s="497">
        <f t="shared" si="74"/>
        <v>2390.3000000000002</v>
      </c>
      <c r="M224" s="497">
        <f t="shared" si="57"/>
        <v>2584.4</v>
      </c>
      <c r="N224" s="509">
        <f t="shared" si="70"/>
        <v>1.5131940993346233E-3</v>
      </c>
      <c r="O224" s="528">
        <f t="shared" si="61"/>
        <v>2584.4</v>
      </c>
      <c r="P224" s="528" t="str">
        <f t="shared" si="62"/>
        <v>OK</v>
      </c>
      <c r="R224">
        <f t="shared" si="71"/>
        <v>2052.4</v>
      </c>
    </row>
    <row r="225" spans="1:18" ht="26.4">
      <c r="A225" s="488" t="s">
        <v>4302</v>
      </c>
      <c r="B225" s="488" t="s">
        <v>4893</v>
      </c>
      <c r="C225" s="488" t="s">
        <v>4144</v>
      </c>
      <c r="D225" s="491" t="s">
        <v>2883</v>
      </c>
      <c r="E225" s="488" t="s">
        <v>2489</v>
      </c>
      <c r="F225" s="488">
        <v>18</v>
      </c>
      <c r="G225" s="497">
        <v>131.97</v>
      </c>
      <c r="H225" s="497">
        <v>38.78</v>
      </c>
      <c r="I225" s="497">
        <v>127.4</v>
      </c>
      <c r="J225" s="497">
        <f t="shared" si="72"/>
        <v>166.18</v>
      </c>
      <c r="K225" s="497">
        <f t="shared" si="73"/>
        <v>698.04</v>
      </c>
      <c r="L225" s="497">
        <f t="shared" si="74"/>
        <v>2293.1999999999998</v>
      </c>
      <c r="M225" s="497">
        <f t="shared" si="57"/>
        <v>2991.24</v>
      </c>
      <c r="N225" s="509">
        <f t="shared" si="70"/>
        <v>1.7514033112883834E-3</v>
      </c>
      <c r="O225" s="528">
        <f t="shared" si="61"/>
        <v>2991.24</v>
      </c>
      <c r="P225" s="528" t="str">
        <f t="shared" si="62"/>
        <v>OK</v>
      </c>
      <c r="R225">
        <f t="shared" si="71"/>
        <v>2375.46</v>
      </c>
    </row>
    <row r="226" spans="1:18" ht="39.6">
      <c r="A226" s="488" t="s">
        <v>4304</v>
      </c>
      <c r="B226" s="488" t="s">
        <v>4894</v>
      </c>
      <c r="C226" s="488" t="s">
        <v>4144</v>
      </c>
      <c r="D226" s="491" t="s">
        <v>3297</v>
      </c>
      <c r="E226" s="488" t="s">
        <v>2477</v>
      </c>
      <c r="F226" s="488">
        <v>12</v>
      </c>
      <c r="G226" s="497">
        <v>28.5</v>
      </c>
      <c r="H226" s="497">
        <v>3.27</v>
      </c>
      <c r="I226" s="497">
        <v>32.619999999999997</v>
      </c>
      <c r="J226" s="497">
        <f t="shared" si="72"/>
        <v>35.89</v>
      </c>
      <c r="K226" s="497">
        <f t="shared" si="73"/>
        <v>39.24</v>
      </c>
      <c r="L226" s="497">
        <f t="shared" si="74"/>
        <v>391.44</v>
      </c>
      <c r="M226" s="497">
        <f t="shared" si="57"/>
        <v>430.68</v>
      </c>
      <c r="N226" s="509">
        <f t="shared" si="70"/>
        <v>2.5216778931335532E-4</v>
      </c>
      <c r="O226" s="528">
        <f t="shared" si="61"/>
        <v>430.68</v>
      </c>
      <c r="P226" s="528" t="str">
        <f t="shared" si="62"/>
        <v>OK</v>
      </c>
      <c r="R226">
        <f t="shared" si="71"/>
        <v>342</v>
      </c>
    </row>
    <row r="227" spans="1:18" ht="39.6">
      <c r="A227" s="488" t="s">
        <v>4307</v>
      </c>
      <c r="B227" s="488" t="s">
        <v>4895</v>
      </c>
      <c r="C227" s="488" t="s">
        <v>4144</v>
      </c>
      <c r="D227" s="491" t="s">
        <v>3300</v>
      </c>
      <c r="E227" s="488" t="s">
        <v>2489</v>
      </c>
      <c r="F227" s="488">
        <v>15</v>
      </c>
      <c r="G227" s="497">
        <v>18.079999999999998</v>
      </c>
      <c r="H227" s="497">
        <v>3.27</v>
      </c>
      <c r="I227" s="497">
        <v>19.5</v>
      </c>
      <c r="J227" s="497">
        <f t="shared" si="72"/>
        <v>22.77</v>
      </c>
      <c r="K227" s="497">
        <f t="shared" si="73"/>
        <v>49.05</v>
      </c>
      <c r="L227" s="497">
        <f t="shared" si="74"/>
        <v>292.5</v>
      </c>
      <c r="M227" s="497">
        <f t="shared" si="57"/>
        <v>341.55</v>
      </c>
      <c r="N227" s="509">
        <f t="shared" si="70"/>
        <v>1.9998121212960089E-4</v>
      </c>
      <c r="O227" s="528">
        <f t="shared" si="61"/>
        <v>341.55</v>
      </c>
      <c r="P227" s="528" t="str">
        <f t="shared" si="62"/>
        <v>OK</v>
      </c>
      <c r="R227">
        <f t="shared" si="71"/>
        <v>271.2</v>
      </c>
    </row>
    <row r="228" spans="1:18" ht="39.6">
      <c r="A228" s="488" t="s">
        <v>4309</v>
      </c>
      <c r="B228" s="488" t="s">
        <v>4896</v>
      </c>
      <c r="C228" s="488" t="s">
        <v>4144</v>
      </c>
      <c r="D228" s="491" t="s">
        <v>3307</v>
      </c>
      <c r="E228" s="488" t="s">
        <v>2489</v>
      </c>
      <c r="F228" s="488">
        <v>1</v>
      </c>
      <c r="G228" s="497">
        <v>130.93</v>
      </c>
      <c r="H228" s="497">
        <v>3.27</v>
      </c>
      <c r="I228" s="497">
        <v>161.6</v>
      </c>
      <c r="J228" s="497">
        <f t="shared" si="72"/>
        <v>164.87</v>
      </c>
      <c r="K228" s="497">
        <f t="shared" si="73"/>
        <v>3.27</v>
      </c>
      <c r="L228" s="497">
        <f t="shared" si="74"/>
        <v>161.6</v>
      </c>
      <c r="M228" s="497">
        <f t="shared" si="57"/>
        <v>164.87</v>
      </c>
      <c r="N228" s="509">
        <f t="shared" si="70"/>
        <v>9.6533164818642369E-5</v>
      </c>
      <c r="O228" s="528">
        <f t="shared" si="61"/>
        <v>164.87</v>
      </c>
      <c r="P228" s="528" t="str">
        <f t="shared" si="62"/>
        <v>OK</v>
      </c>
      <c r="R228">
        <f t="shared" si="71"/>
        <v>130.93</v>
      </c>
    </row>
    <row r="229" spans="1:18">
      <c r="A229" s="488" t="s">
        <v>4311</v>
      </c>
      <c r="B229" s="488" t="s">
        <v>4897</v>
      </c>
      <c r="C229" s="488" t="s">
        <v>4144</v>
      </c>
      <c r="D229" s="491" t="s">
        <v>4312</v>
      </c>
      <c r="E229" s="488" t="s">
        <v>2489</v>
      </c>
      <c r="F229" s="488">
        <v>998</v>
      </c>
      <c r="G229" s="497">
        <v>3.63</v>
      </c>
      <c r="H229" s="497">
        <v>0.33</v>
      </c>
      <c r="I229" s="497">
        <v>4.24</v>
      </c>
      <c r="J229" s="497">
        <f t="shared" si="72"/>
        <v>4.57</v>
      </c>
      <c r="K229" s="497">
        <f t="shared" si="73"/>
        <v>329.34</v>
      </c>
      <c r="L229" s="497">
        <f t="shared" si="74"/>
        <v>4231.5200000000004</v>
      </c>
      <c r="M229" s="497">
        <f t="shared" si="57"/>
        <v>4560.8599999999997</v>
      </c>
      <c r="N229" s="509">
        <f t="shared" si="70"/>
        <v>2.6704327657836673E-3</v>
      </c>
      <c r="O229" s="528">
        <f t="shared" si="61"/>
        <v>4560.8600000000006</v>
      </c>
      <c r="P229" s="528" t="str">
        <f t="shared" si="62"/>
        <v>OK</v>
      </c>
      <c r="R229">
        <f t="shared" si="71"/>
        <v>3622.74</v>
      </c>
    </row>
    <row r="230" spans="1:18">
      <c r="A230" s="488" t="s">
        <v>4324</v>
      </c>
      <c r="B230" s="488" t="s">
        <v>4898</v>
      </c>
      <c r="C230" s="488" t="s">
        <v>4144</v>
      </c>
      <c r="D230" s="491" t="s">
        <v>3324</v>
      </c>
      <c r="E230" s="488" t="s">
        <v>3040</v>
      </c>
      <c r="F230" s="488">
        <v>120</v>
      </c>
      <c r="G230" s="497">
        <v>20.28</v>
      </c>
      <c r="H230" s="497">
        <v>6.21</v>
      </c>
      <c r="I230" s="497">
        <v>19.329999999999998</v>
      </c>
      <c r="J230" s="497">
        <f t="shared" si="72"/>
        <v>25.54</v>
      </c>
      <c r="K230" s="497">
        <f t="shared" si="73"/>
        <v>745.2</v>
      </c>
      <c r="L230" s="497">
        <f t="shared" si="74"/>
        <v>2319.6</v>
      </c>
      <c r="M230" s="497">
        <f t="shared" si="57"/>
        <v>3064.8</v>
      </c>
      <c r="N230" s="509">
        <f t="shared" si="70"/>
        <v>1.7944734853895502E-3</v>
      </c>
      <c r="O230" s="528">
        <f t="shared" si="61"/>
        <v>3064.8</v>
      </c>
      <c r="P230" s="528" t="str">
        <f t="shared" si="62"/>
        <v>OK</v>
      </c>
      <c r="R230">
        <f t="shared" si="71"/>
        <v>2433.6</v>
      </c>
    </row>
    <row r="231" spans="1:18">
      <c r="A231" s="488" t="s">
        <v>4330</v>
      </c>
      <c r="B231" s="488" t="s">
        <v>4899</v>
      </c>
      <c r="C231" s="488" t="s">
        <v>4144</v>
      </c>
      <c r="D231" s="491" t="s">
        <v>3231</v>
      </c>
      <c r="E231" s="488" t="s">
        <v>2487</v>
      </c>
      <c r="F231" s="488">
        <v>32</v>
      </c>
      <c r="G231" s="497">
        <f>'Composições Custo Unitário'!H476</f>
        <v>9.52</v>
      </c>
      <c r="H231" s="497">
        <f>ROUND(('Composições Custo Unitário'!H477*1.2592),2)</f>
        <v>5.28</v>
      </c>
      <c r="I231" s="497">
        <v>6.71</v>
      </c>
      <c r="J231" s="497">
        <f t="shared" si="72"/>
        <v>11.99</v>
      </c>
      <c r="K231" s="497">
        <f t="shared" si="73"/>
        <v>168.96</v>
      </c>
      <c r="L231" s="497">
        <f t="shared" si="74"/>
        <v>214.72</v>
      </c>
      <c r="M231" s="497">
        <f t="shared" si="57"/>
        <v>383.68</v>
      </c>
      <c r="N231" s="509">
        <f t="shared" si="70"/>
        <v>2.2464878193495909E-4</v>
      </c>
      <c r="O231" s="528">
        <f t="shared" si="61"/>
        <v>383.68</v>
      </c>
      <c r="P231" s="528" t="str">
        <f t="shared" si="62"/>
        <v>OK</v>
      </c>
      <c r="R231">
        <f t="shared" si="71"/>
        <v>304.64</v>
      </c>
    </row>
    <row r="232" spans="1:18" ht="39.6">
      <c r="A232" s="488" t="s">
        <v>4332</v>
      </c>
      <c r="B232" s="488" t="s">
        <v>4900</v>
      </c>
      <c r="C232" s="488" t="s">
        <v>4144</v>
      </c>
      <c r="D232" s="491" t="s">
        <v>3330</v>
      </c>
      <c r="E232" s="488" t="s">
        <v>2489</v>
      </c>
      <c r="F232" s="488">
        <v>11</v>
      </c>
      <c r="G232" s="497">
        <f>'Composições Custo Unitário'!H484</f>
        <v>54.11</v>
      </c>
      <c r="H232" s="497">
        <f>ROUND((('Composições Custo Unitário'!H485+'Composições Custo Unitário'!H486)*1.2592),2)</f>
        <v>10.01</v>
      </c>
      <c r="I232" s="497">
        <f>ROUND((('Composições Custo Unitário'!H487+'Composições Custo Unitário'!H488+'Composições Custo Unitário'!H489+'Composições Custo Unitário'!H490)*1.2592),2)</f>
        <v>58.12</v>
      </c>
      <c r="J232" s="497">
        <f t="shared" si="72"/>
        <v>68.14</v>
      </c>
      <c r="K232" s="497">
        <f t="shared" si="73"/>
        <v>110.11</v>
      </c>
      <c r="L232" s="497">
        <f t="shared" si="74"/>
        <v>639.32000000000005</v>
      </c>
      <c r="M232" s="497">
        <f t="shared" si="57"/>
        <v>749.43</v>
      </c>
      <c r="N232" s="509">
        <f t="shared" si="70"/>
        <v>4.3879935531045762E-4</v>
      </c>
      <c r="O232" s="528">
        <f t="shared" si="61"/>
        <v>749.43000000000006</v>
      </c>
      <c r="P232" s="528" t="str">
        <f t="shared" si="62"/>
        <v>OK</v>
      </c>
      <c r="R232">
        <f t="shared" si="71"/>
        <v>595.21</v>
      </c>
    </row>
    <row r="233" spans="1:18" ht="39.6">
      <c r="A233" s="488" t="s">
        <v>4334</v>
      </c>
      <c r="B233" s="488" t="s">
        <v>4901</v>
      </c>
      <c r="C233" s="488" t="s">
        <v>4144</v>
      </c>
      <c r="D233" s="491" t="s">
        <v>3331</v>
      </c>
      <c r="E233" s="488" t="s">
        <v>2489</v>
      </c>
      <c r="F233" s="488">
        <v>93</v>
      </c>
      <c r="G233" s="497">
        <f>'Composições Custo Unitário'!H496</f>
        <v>32.57</v>
      </c>
      <c r="H233" s="497">
        <f>ROUND((('Composições Custo Unitário'!H497+'Composições Custo Unitário'!H498)*1.2592),2)</f>
        <v>10</v>
      </c>
      <c r="I233" s="497">
        <f>ROUND((('Composições Custo Unitário'!H499+'Composições Custo Unitário'!H500+'Composições Custo Unitário'!H501)*1.2592),2)</f>
        <v>31.01</v>
      </c>
      <c r="J233" s="497">
        <f t="shared" si="72"/>
        <v>41.01</v>
      </c>
      <c r="K233" s="497">
        <f t="shared" si="73"/>
        <v>930</v>
      </c>
      <c r="L233" s="497">
        <f t="shared" si="74"/>
        <v>2883.93</v>
      </c>
      <c r="M233" s="497">
        <f t="shared" si="57"/>
        <v>3813.93</v>
      </c>
      <c r="N233" s="509">
        <f t="shared" si="70"/>
        <v>2.2330971874614221E-3</v>
      </c>
      <c r="O233" s="528">
        <f t="shared" si="61"/>
        <v>3813.93</v>
      </c>
      <c r="P233" s="528" t="str">
        <f t="shared" si="62"/>
        <v>OK</v>
      </c>
      <c r="R233">
        <f t="shared" si="71"/>
        <v>3029.01</v>
      </c>
    </row>
    <row r="234" spans="1:18" ht="39.6">
      <c r="A234" s="488" t="s">
        <v>4336</v>
      </c>
      <c r="B234" s="488" t="s">
        <v>4902</v>
      </c>
      <c r="C234" s="488" t="s">
        <v>4144</v>
      </c>
      <c r="D234" s="491" t="s">
        <v>3334</v>
      </c>
      <c r="E234" s="488" t="s">
        <v>2489</v>
      </c>
      <c r="F234" s="488">
        <v>26</v>
      </c>
      <c r="G234" s="497">
        <v>54.97</v>
      </c>
      <c r="H234" s="497">
        <v>11.19</v>
      </c>
      <c r="I234" s="497">
        <v>58.03</v>
      </c>
      <c r="J234" s="497">
        <f t="shared" si="72"/>
        <v>69.22</v>
      </c>
      <c r="K234" s="497">
        <f t="shared" si="73"/>
        <v>290.94</v>
      </c>
      <c r="L234" s="497">
        <f t="shared" si="74"/>
        <v>1508.78</v>
      </c>
      <c r="M234" s="497">
        <f t="shared" si="57"/>
        <v>1799.72</v>
      </c>
      <c r="N234" s="509">
        <f t="shared" si="70"/>
        <v>1.0537554884903684E-3</v>
      </c>
      <c r="O234" s="528">
        <f t="shared" si="61"/>
        <v>1799.72</v>
      </c>
      <c r="P234" s="528" t="str">
        <f t="shared" si="62"/>
        <v>OK</v>
      </c>
      <c r="R234">
        <f t="shared" si="71"/>
        <v>1429.22</v>
      </c>
    </row>
    <row r="235" spans="1:18" ht="39.6">
      <c r="A235" s="488" t="s">
        <v>4338</v>
      </c>
      <c r="B235" s="488" t="s">
        <v>4903</v>
      </c>
      <c r="C235" s="488" t="s">
        <v>4144</v>
      </c>
      <c r="D235" s="491" t="s">
        <v>3337</v>
      </c>
      <c r="E235" s="488" t="s">
        <v>3040</v>
      </c>
      <c r="F235" s="488">
        <v>8.1999999999999993</v>
      </c>
      <c r="G235" s="497">
        <v>59.5</v>
      </c>
      <c r="H235" s="497">
        <v>15.03</v>
      </c>
      <c r="I235" s="497">
        <v>59.89</v>
      </c>
      <c r="J235" s="497">
        <f t="shared" si="72"/>
        <v>74.92</v>
      </c>
      <c r="K235" s="497">
        <f t="shared" si="73"/>
        <v>123.25</v>
      </c>
      <c r="L235" s="497">
        <f t="shared" si="74"/>
        <v>491.1</v>
      </c>
      <c r="M235" s="497">
        <f t="shared" si="57"/>
        <v>614.35</v>
      </c>
      <c r="N235" s="509">
        <f t="shared" si="70"/>
        <v>3.597085570833562E-4</v>
      </c>
      <c r="O235" s="528">
        <f t="shared" si="61"/>
        <v>614.35</v>
      </c>
      <c r="P235" s="528" t="str">
        <f t="shared" si="62"/>
        <v>OK</v>
      </c>
      <c r="R235">
        <f t="shared" si="71"/>
        <v>487.9</v>
      </c>
    </row>
    <row r="236" spans="1:18" ht="26.4">
      <c r="A236" s="488" t="s">
        <v>4340</v>
      </c>
      <c r="B236" s="488" t="s">
        <v>4904</v>
      </c>
      <c r="C236" s="488" t="s">
        <v>4144</v>
      </c>
      <c r="D236" s="491" t="s">
        <v>3339</v>
      </c>
      <c r="E236" s="488" t="s">
        <v>2489</v>
      </c>
      <c r="F236" s="488">
        <v>48</v>
      </c>
      <c r="G236" s="497">
        <v>12.96</v>
      </c>
      <c r="H236" s="497">
        <v>13.68</v>
      </c>
      <c r="I236" s="497">
        <v>2.64</v>
      </c>
      <c r="J236" s="497">
        <f t="shared" si="72"/>
        <v>16.32</v>
      </c>
      <c r="K236" s="497">
        <f t="shared" si="73"/>
        <v>656.64</v>
      </c>
      <c r="L236" s="497">
        <f t="shared" si="74"/>
        <v>126.72</v>
      </c>
      <c r="M236" s="497">
        <f t="shared" si="57"/>
        <v>783.36</v>
      </c>
      <c r="N236" s="509">
        <f t="shared" si="70"/>
        <v>4.5866573659447858E-4</v>
      </c>
      <c r="O236" s="528">
        <f t="shared" si="61"/>
        <v>783.36</v>
      </c>
      <c r="P236" s="528" t="str">
        <f t="shared" si="62"/>
        <v>OK</v>
      </c>
      <c r="R236">
        <f t="shared" si="71"/>
        <v>622.08000000000004</v>
      </c>
    </row>
    <row r="237" spans="1:18" ht="39.6">
      <c r="A237" s="488" t="s">
        <v>4343</v>
      </c>
      <c r="B237" s="488" t="s">
        <v>4905</v>
      </c>
      <c r="C237" s="488" t="s">
        <v>4144</v>
      </c>
      <c r="D237" s="491" t="s">
        <v>3341</v>
      </c>
      <c r="E237" s="488" t="s">
        <v>2489</v>
      </c>
      <c r="F237" s="488">
        <v>135</v>
      </c>
      <c r="G237" s="497">
        <v>9.8699999999999992</v>
      </c>
      <c r="H237" s="497">
        <v>7.31</v>
      </c>
      <c r="I237" s="497">
        <v>5.12</v>
      </c>
      <c r="J237" s="497">
        <f t="shared" si="72"/>
        <v>12.43</v>
      </c>
      <c r="K237" s="497">
        <f t="shared" si="73"/>
        <v>986.85</v>
      </c>
      <c r="L237" s="497">
        <f t="shared" si="74"/>
        <v>691.2</v>
      </c>
      <c r="M237" s="497">
        <f t="shared" si="57"/>
        <v>1678.05</v>
      </c>
      <c r="N237" s="509">
        <f t="shared" si="70"/>
        <v>9.8251639002803928E-4</v>
      </c>
      <c r="O237" s="528">
        <f t="shared" si="61"/>
        <v>1678.0500000000002</v>
      </c>
      <c r="P237" s="528" t="str">
        <f t="shared" si="62"/>
        <v>OK</v>
      </c>
      <c r="R237">
        <f t="shared" si="71"/>
        <v>1332.45</v>
      </c>
    </row>
    <row r="238" spans="1:18">
      <c r="A238" s="488" t="s">
        <v>4347</v>
      </c>
      <c r="B238" s="488" t="s">
        <v>4906</v>
      </c>
      <c r="C238" s="488" t="s">
        <v>4144</v>
      </c>
      <c r="D238" s="491" t="s">
        <v>4348</v>
      </c>
      <c r="E238" s="488" t="s">
        <v>2489</v>
      </c>
      <c r="F238" s="488">
        <v>12</v>
      </c>
      <c r="G238" s="497">
        <f>'Composições Custo Unitário'!H548</f>
        <v>1799.48</v>
      </c>
      <c r="H238" s="497">
        <f>ROUND(('Composições Custo Unitário'!H549*1.2592),2)</f>
        <v>21.84</v>
      </c>
      <c r="I238" s="497">
        <f>ROUND((('Composições Custo Unitário'!H550+'Composições Custo Unitário'!H551+'Composições Custo Unitário'!H552)*1.2592),2)</f>
        <v>2244.0700000000002</v>
      </c>
      <c r="J238" s="497">
        <f t="shared" si="72"/>
        <v>2265.91</v>
      </c>
      <c r="K238" s="497">
        <f t="shared" si="73"/>
        <v>262.08</v>
      </c>
      <c r="L238" s="497">
        <f t="shared" si="74"/>
        <v>26928.84</v>
      </c>
      <c r="M238" s="497">
        <f t="shared" si="57"/>
        <v>27190.92</v>
      </c>
      <c r="N238" s="509">
        <f t="shared" si="70"/>
        <v>1.5920577193731539E-2</v>
      </c>
      <c r="O238" s="528">
        <f t="shared" si="61"/>
        <v>27190.920000000002</v>
      </c>
      <c r="P238" s="528" t="str">
        <f t="shared" si="62"/>
        <v>OK</v>
      </c>
      <c r="R238">
        <f t="shared" si="71"/>
        <v>21593.759999999998</v>
      </c>
    </row>
    <row r="239" spans="1:18">
      <c r="A239" s="488" t="s">
        <v>4353</v>
      </c>
      <c r="B239" s="488" t="s">
        <v>4907</v>
      </c>
      <c r="C239" s="488" t="s">
        <v>4144</v>
      </c>
      <c r="D239" s="491" t="s">
        <v>3758</v>
      </c>
      <c r="E239" s="488" t="s">
        <v>2489</v>
      </c>
      <c r="F239" s="488">
        <v>4</v>
      </c>
      <c r="G239" s="497">
        <v>105.21</v>
      </c>
      <c r="H239" s="497">
        <v>98.88</v>
      </c>
      <c r="I239" s="497">
        <v>33.6</v>
      </c>
      <c r="J239" s="497">
        <f t="shared" si="72"/>
        <v>132.47999999999999</v>
      </c>
      <c r="K239" s="497">
        <f t="shared" si="73"/>
        <v>395.52</v>
      </c>
      <c r="L239" s="497">
        <f t="shared" si="74"/>
        <v>134.4</v>
      </c>
      <c r="M239" s="497">
        <f t="shared" si="57"/>
        <v>529.91999999999996</v>
      </c>
      <c r="N239" s="509">
        <f t="shared" si="70"/>
        <v>3.1027388063744135E-4</v>
      </c>
      <c r="O239" s="528">
        <f t="shared" si="61"/>
        <v>529.91999999999996</v>
      </c>
      <c r="P239" s="528" t="str">
        <f t="shared" si="62"/>
        <v>OK</v>
      </c>
      <c r="R239">
        <f t="shared" si="71"/>
        <v>420.84</v>
      </c>
    </row>
    <row r="240" spans="1:18">
      <c r="A240" s="488" t="s">
        <v>4365</v>
      </c>
      <c r="B240" s="488" t="s">
        <v>4908</v>
      </c>
      <c r="C240" s="488" t="s">
        <v>4144</v>
      </c>
      <c r="D240" s="491" t="s">
        <v>3757</v>
      </c>
      <c r="E240" s="488" t="s">
        <v>3056</v>
      </c>
      <c r="F240" s="488">
        <v>6</v>
      </c>
      <c r="G240" s="497">
        <v>557.26</v>
      </c>
      <c r="H240" s="497">
        <v>87.61</v>
      </c>
      <c r="I240" s="497">
        <v>614.09</v>
      </c>
      <c r="J240" s="497">
        <f t="shared" si="72"/>
        <v>701.7</v>
      </c>
      <c r="K240" s="497">
        <f t="shared" si="73"/>
        <v>525.66</v>
      </c>
      <c r="L240" s="497">
        <f t="shared" si="74"/>
        <v>3684.54</v>
      </c>
      <c r="M240" s="497">
        <f t="shared" si="57"/>
        <v>4210.2</v>
      </c>
      <c r="N240" s="509">
        <f t="shared" si="70"/>
        <v>2.4651175503090199E-3</v>
      </c>
      <c r="O240" s="528">
        <f t="shared" si="61"/>
        <v>4210.2</v>
      </c>
      <c r="P240" s="528" t="str">
        <f t="shared" si="62"/>
        <v>OK</v>
      </c>
      <c r="R240">
        <f t="shared" si="71"/>
        <v>3343.56</v>
      </c>
    </row>
    <row r="241" spans="1:18">
      <c r="A241" s="494" t="s">
        <v>4800</v>
      </c>
      <c r="B241" s="494"/>
      <c r="C241" s="494"/>
      <c r="D241" s="490" t="s">
        <v>2726</v>
      </c>
      <c r="E241" s="494"/>
      <c r="F241" s="494"/>
      <c r="G241" s="494"/>
      <c r="H241" s="494"/>
      <c r="I241" s="494"/>
      <c r="J241" s="494"/>
      <c r="K241" s="494"/>
      <c r="L241" s="494"/>
      <c r="M241" s="495">
        <f>ROUND((SUM(M242:M269)),2)</f>
        <v>255801.02</v>
      </c>
      <c r="N241" s="496">
        <f t="shared" si="70"/>
        <v>0.14977425865492103</v>
      </c>
      <c r="O241" s="528">
        <f t="shared" si="61"/>
        <v>0</v>
      </c>
      <c r="P241" s="528" t="str">
        <f t="shared" si="62"/>
        <v>NÃO</v>
      </c>
      <c r="R241">
        <f t="shared" si="71"/>
        <v>0</v>
      </c>
    </row>
    <row r="242" spans="1:18" ht="39.6">
      <c r="A242" s="489" t="s">
        <v>4801</v>
      </c>
      <c r="B242" s="489" t="s">
        <v>4909</v>
      </c>
      <c r="C242" s="489" t="s">
        <v>4144</v>
      </c>
      <c r="D242" s="492" t="s">
        <v>2720</v>
      </c>
      <c r="E242" s="489" t="s">
        <v>3040</v>
      </c>
      <c r="F242" s="489">
        <v>25.65</v>
      </c>
      <c r="G242" s="498">
        <v>375.78</v>
      </c>
      <c r="H242" s="498">
        <v>0</v>
      </c>
      <c r="I242" s="498">
        <v>431.77</v>
      </c>
      <c r="J242" s="498" t="str">
        <f t="shared" ref="J242:J269" si="75">ROUND(G242 * (1 + 14.9 / 100), 2) &amp;CHAR(10)&amp; "(14.9%)"</f>
        <v>431,77
(14.9%)</v>
      </c>
      <c r="K242" s="497">
        <f t="shared" ref="K242:K269" si="76">ROUND(F242 * H242, 2)</f>
        <v>0</v>
      </c>
      <c r="L242" s="497">
        <f t="shared" ref="L242:L269" si="77">ROUND(F242 * I242, 2)</f>
        <v>11074.9</v>
      </c>
      <c r="M242" s="497">
        <f t="shared" si="57"/>
        <v>11074.9</v>
      </c>
      <c r="N242" s="509">
        <f t="shared" si="70"/>
        <v>6.4844735067021431E-3</v>
      </c>
      <c r="O242" s="528">
        <f t="shared" si="61"/>
        <v>11074.9</v>
      </c>
      <c r="P242" s="528" t="str">
        <f t="shared" si="62"/>
        <v>OK</v>
      </c>
      <c r="R242">
        <f t="shared" si="71"/>
        <v>9638.76</v>
      </c>
    </row>
    <row r="243" spans="1:18" ht="39.6">
      <c r="A243" s="489" t="s">
        <v>4802</v>
      </c>
      <c r="B243" s="489" t="s">
        <v>4910</v>
      </c>
      <c r="C243" s="489" t="s">
        <v>4144</v>
      </c>
      <c r="D243" s="492" t="s">
        <v>2721</v>
      </c>
      <c r="E243" s="489" t="s">
        <v>3040</v>
      </c>
      <c r="F243" s="489">
        <v>25.02</v>
      </c>
      <c r="G243" s="498">
        <v>374.76</v>
      </c>
      <c r="H243" s="498">
        <v>0</v>
      </c>
      <c r="I243" s="498">
        <v>430.6</v>
      </c>
      <c r="J243" s="498" t="str">
        <f t="shared" si="75"/>
        <v>430,6
(14.9%)</v>
      </c>
      <c r="K243" s="497">
        <f t="shared" si="76"/>
        <v>0</v>
      </c>
      <c r="L243" s="497">
        <f t="shared" si="77"/>
        <v>10773.61</v>
      </c>
      <c r="M243" s="497">
        <f t="shared" si="57"/>
        <v>10773.61</v>
      </c>
      <c r="N243" s="509">
        <f t="shared" si="70"/>
        <v>6.3080649591907177E-3</v>
      </c>
      <c r="O243" s="528">
        <f t="shared" si="61"/>
        <v>10773.61</v>
      </c>
      <c r="P243" s="528" t="str">
        <f t="shared" si="62"/>
        <v>OK</v>
      </c>
      <c r="R243">
        <f t="shared" si="71"/>
        <v>9376.5</v>
      </c>
    </row>
    <row r="244" spans="1:18" ht="39.6">
      <c r="A244" s="489" t="s">
        <v>4803</v>
      </c>
      <c r="B244" s="489" t="s">
        <v>4911</v>
      </c>
      <c r="C244" s="489" t="s">
        <v>4144</v>
      </c>
      <c r="D244" s="492" t="s">
        <v>2722</v>
      </c>
      <c r="E244" s="489" t="s">
        <v>3040</v>
      </c>
      <c r="F244" s="489">
        <v>30.3</v>
      </c>
      <c r="G244" s="498">
        <v>383.99</v>
      </c>
      <c r="H244" s="498">
        <v>0</v>
      </c>
      <c r="I244" s="498">
        <v>441.2</v>
      </c>
      <c r="J244" s="498" t="str">
        <f t="shared" si="75"/>
        <v>441,2
(14.9%)</v>
      </c>
      <c r="K244" s="497">
        <f t="shared" si="76"/>
        <v>0</v>
      </c>
      <c r="L244" s="497">
        <f t="shared" si="77"/>
        <v>13368.36</v>
      </c>
      <c r="M244" s="497">
        <f t="shared" si="57"/>
        <v>13368.36</v>
      </c>
      <c r="N244" s="509">
        <f t="shared" si="70"/>
        <v>7.8273190952565415E-3</v>
      </c>
      <c r="O244" s="528">
        <f t="shared" si="61"/>
        <v>13368.36</v>
      </c>
      <c r="P244" s="528" t="str">
        <f t="shared" si="62"/>
        <v>OK</v>
      </c>
      <c r="R244">
        <f t="shared" si="71"/>
        <v>11634.9</v>
      </c>
    </row>
    <row r="245" spans="1:18" ht="39.6">
      <c r="A245" s="489" t="s">
        <v>4804</v>
      </c>
      <c r="B245" s="489" t="s">
        <v>4912</v>
      </c>
      <c r="C245" s="489" t="s">
        <v>4144</v>
      </c>
      <c r="D245" s="492" t="s">
        <v>3918</v>
      </c>
      <c r="E245" s="489" t="s">
        <v>3040</v>
      </c>
      <c r="F245" s="489">
        <v>8.1</v>
      </c>
      <c r="G245" s="498">
        <v>377.66</v>
      </c>
      <c r="H245" s="498">
        <v>0</v>
      </c>
      <c r="I245" s="498">
        <v>433.93</v>
      </c>
      <c r="J245" s="498" t="str">
        <f t="shared" si="75"/>
        <v>433,93
(14.9%)</v>
      </c>
      <c r="K245" s="497">
        <f t="shared" si="76"/>
        <v>0</v>
      </c>
      <c r="L245" s="497">
        <f t="shared" si="77"/>
        <v>3514.83</v>
      </c>
      <c r="M245" s="497">
        <f t="shared" si="57"/>
        <v>3514.83</v>
      </c>
      <c r="N245" s="509">
        <f t="shared" si="70"/>
        <v>2.0579709085916708E-3</v>
      </c>
      <c r="O245" s="528">
        <f t="shared" si="61"/>
        <v>3514.83</v>
      </c>
      <c r="P245" s="528" t="str">
        <f t="shared" si="62"/>
        <v>OK</v>
      </c>
      <c r="R245">
        <f t="shared" si="71"/>
        <v>3059.05</v>
      </c>
    </row>
    <row r="246" spans="1:18" ht="39.6">
      <c r="A246" s="489" t="s">
        <v>4805</v>
      </c>
      <c r="B246" s="489" t="s">
        <v>4913</v>
      </c>
      <c r="C246" s="489" t="s">
        <v>4144</v>
      </c>
      <c r="D246" s="492" t="s">
        <v>2724</v>
      </c>
      <c r="E246" s="489" t="s">
        <v>3040</v>
      </c>
      <c r="F246" s="489">
        <v>17.600000000000001</v>
      </c>
      <c r="G246" s="498">
        <v>376.28</v>
      </c>
      <c r="H246" s="498">
        <v>0</v>
      </c>
      <c r="I246" s="498">
        <v>432.35</v>
      </c>
      <c r="J246" s="498" t="str">
        <f t="shared" si="75"/>
        <v>432,35
(14.9%)</v>
      </c>
      <c r="K246" s="497">
        <f t="shared" si="76"/>
        <v>0</v>
      </c>
      <c r="L246" s="497">
        <f t="shared" si="77"/>
        <v>7609.36</v>
      </c>
      <c r="M246" s="497">
        <f t="shared" si="57"/>
        <v>7609.36</v>
      </c>
      <c r="N246" s="509">
        <f t="shared" si="70"/>
        <v>4.4553624252100712E-3</v>
      </c>
      <c r="O246" s="528">
        <f t="shared" si="61"/>
        <v>7609.36</v>
      </c>
      <c r="P246" s="528" t="str">
        <f t="shared" si="62"/>
        <v>OK</v>
      </c>
      <c r="R246">
        <f t="shared" si="71"/>
        <v>6622.53</v>
      </c>
    </row>
    <row r="247" spans="1:18" ht="39.6">
      <c r="A247" s="489" t="s">
        <v>4806</v>
      </c>
      <c r="B247" s="489" t="s">
        <v>4914</v>
      </c>
      <c r="C247" s="489" t="s">
        <v>4144</v>
      </c>
      <c r="D247" s="492" t="s">
        <v>2725</v>
      </c>
      <c r="E247" s="489" t="s">
        <v>3040</v>
      </c>
      <c r="F247" s="489">
        <v>25.3</v>
      </c>
      <c r="G247" s="498">
        <v>380.77</v>
      </c>
      <c r="H247" s="498">
        <v>0</v>
      </c>
      <c r="I247" s="498">
        <v>437.5</v>
      </c>
      <c r="J247" s="498" t="str">
        <f t="shared" si="75"/>
        <v>437,5
(14.9%)</v>
      </c>
      <c r="K247" s="497">
        <f t="shared" si="76"/>
        <v>0</v>
      </c>
      <c r="L247" s="497">
        <f t="shared" si="77"/>
        <v>11068.75</v>
      </c>
      <c r="M247" s="497">
        <f t="shared" si="57"/>
        <v>11068.75</v>
      </c>
      <c r="N247" s="509">
        <f t="shared" si="70"/>
        <v>6.4808726153111401E-3</v>
      </c>
      <c r="O247" s="528">
        <f t="shared" si="61"/>
        <v>11068.75</v>
      </c>
      <c r="P247" s="528" t="str">
        <f t="shared" si="62"/>
        <v>OK</v>
      </c>
      <c r="R247">
        <f t="shared" si="71"/>
        <v>9633.48</v>
      </c>
    </row>
    <row r="248" spans="1:18" ht="39.6">
      <c r="A248" s="489" t="s">
        <v>4807</v>
      </c>
      <c r="B248" s="489" t="s">
        <v>4915</v>
      </c>
      <c r="C248" s="489" t="s">
        <v>4144</v>
      </c>
      <c r="D248" s="492" t="s">
        <v>2727</v>
      </c>
      <c r="E248" s="489" t="s">
        <v>3040</v>
      </c>
      <c r="F248" s="489">
        <v>43.89</v>
      </c>
      <c r="G248" s="498">
        <v>383.13</v>
      </c>
      <c r="H248" s="498">
        <v>0</v>
      </c>
      <c r="I248" s="498">
        <v>440.22</v>
      </c>
      <c r="J248" s="498" t="str">
        <f t="shared" si="75"/>
        <v>440,22
(14.9%)</v>
      </c>
      <c r="K248" s="497">
        <f t="shared" si="76"/>
        <v>0</v>
      </c>
      <c r="L248" s="497">
        <f t="shared" si="77"/>
        <v>19321.259999999998</v>
      </c>
      <c r="M248" s="497">
        <f t="shared" si="57"/>
        <v>19321.259999999998</v>
      </c>
      <c r="N248" s="509">
        <f t="shared" si="70"/>
        <v>1.1312806308508776E-2</v>
      </c>
      <c r="O248" s="528">
        <f t="shared" si="61"/>
        <v>19321.259999999998</v>
      </c>
      <c r="P248" s="528" t="str">
        <f t="shared" si="62"/>
        <v>OK</v>
      </c>
      <c r="R248">
        <f t="shared" si="71"/>
        <v>16815.580000000002</v>
      </c>
    </row>
    <row r="249" spans="1:18" ht="26.4">
      <c r="A249" s="489" t="s">
        <v>4808</v>
      </c>
      <c r="B249" s="489" t="s">
        <v>4916</v>
      </c>
      <c r="C249" s="489" t="s">
        <v>4144</v>
      </c>
      <c r="D249" s="492" t="s">
        <v>3320</v>
      </c>
      <c r="E249" s="489" t="s">
        <v>3040</v>
      </c>
      <c r="F249" s="489">
        <v>58.81</v>
      </c>
      <c r="G249" s="498">
        <v>550.09</v>
      </c>
      <c r="H249" s="498">
        <v>0</v>
      </c>
      <c r="I249" s="498">
        <v>632.04999999999995</v>
      </c>
      <c r="J249" s="498" t="str">
        <f t="shared" si="75"/>
        <v>632,05
(14.9%)</v>
      </c>
      <c r="K249" s="497">
        <f t="shared" si="76"/>
        <v>0</v>
      </c>
      <c r="L249" s="497">
        <f t="shared" si="77"/>
        <v>37170.86</v>
      </c>
      <c r="M249" s="497">
        <f t="shared" si="57"/>
        <v>37170.86</v>
      </c>
      <c r="N249" s="509">
        <f t="shared" si="70"/>
        <v>2.176393980002839E-2</v>
      </c>
      <c r="O249" s="528">
        <f t="shared" si="61"/>
        <v>37170.86</v>
      </c>
      <c r="P249" s="528" t="str">
        <f t="shared" si="62"/>
        <v>OK</v>
      </c>
      <c r="R249">
        <f t="shared" si="71"/>
        <v>32350.79</v>
      </c>
    </row>
    <row r="250" spans="1:18" ht="39.6">
      <c r="A250" s="489" t="s">
        <v>4809</v>
      </c>
      <c r="B250" s="489" t="s">
        <v>4917</v>
      </c>
      <c r="C250" s="489" t="s">
        <v>4144</v>
      </c>
      <c r="D250" s="492" t="s">
        <v>2865</v>
      </c>
      <c r="E250" s="489" t="s">
        <v>2489</v>
      </c>
      <c r="F250" s="489">
        <v>1</v>
      </c>
      <c r="G250" s="498">
        <v>15108.26</v>
      </c>
      <c r="H250" s="498">
        <v>0</v>
      </c>
      <c r="I250" s="498">
        <v>17359.39</v>
      </c>
      <c r="J250" s="498" t="str">
        <f t="shared" si="75"/>
        <v>17359,39
(14.9%)</v>
      </c>
      <c r="K250" s="497">
        <f t="shared" si="76"/>
        <v>0</v>
      </c>
      <c r="L250" s="497">
        <f t="shared" si="77"/>
        <v>17359.39</v>
      </c>
      <c r="M250" s="497">
        <f t="shared" si="57"/>
        <v>17359.39</v>
      </c>
      <c r="N250" s="509">
        <f t="shared" si="70"/>
        <v>1.0164110244562942E-2</v>
      </c>
      <c r="O250" s="528">
        <f t="shared" si="61"/>
        <v>17359.39</v>
      </c>
      <c r="P250" s="528" t="str">
        <f t="shared" si="62"/>
        <v>OK</v>
      </c>
      <c r="R250">
        <f t="shared" si="71"/>
        <v>15108.26</v>
      </c>
    </row>
    <row r="251" spans="1:18" ht="26.4">
      <c r="A251" s="489" t="s">
        <v>4810</v>
      </c>
      <c r="B251" s="489" t="s">
        <v>4918</v>
      </c>
      <c r="C251" s="489" t="s">
        <v>4144</v>
      </c>
      <c r="D251" s="492" t="s">
        <v>2866</v>
      </c>
      <c r="E251" s="489" t="s">
        <v>2489</v>
      </c>
      <c r="F251" s="489">
        <v>1</v>
      </c>
      <c r="G251" s="498">
        <v>4560</v>
      </c>
      <c r="H251" s="498">
        <v>0</v>
      </c>
      <c r="I251" s="498">
        <v>5239.4399999999996</v>
      </c>
      <c r="J251" s="498" t="str">
        <f t="shared" si="75"/>
        <v>5239,44
(14.9%)</v>
      </c>
      <c r="K251" s="497">
        <f t="shared" si="76"/>
        <v>0</v>
      </c>
      <c r="L251" s="497">
        <f t="shared" si="77"/>
        <v>5239.4399999999996</v>
      </c>
      <c r="M251" s="497">
        <f t="shared" si="57"/>
        <v>5239.4399999999996</v>
      </c>
      <c r="N251" s="509">
        <f t="shared" si="70"/>
        <v>3.0677486812481806E-3</v>
      </c>
      <c r="O251" s="528">
        <f t="shared" si="61"/>
        <v>5239.4399999999996</v>
      </c>
      <c r="P251" s="528" t="str">
        <f t="shared" si="62"/>
        <v>OK</v>
      </c>
      <c r="R251">
        <f t="shared" si="71"/>
        <v>4560</v>
      </c>
    </row>
    <row r="252" spans="1:18" ht="26.4">
      <c r="A252" s="489" t="s">
        <v>4811</v>
      </c>
      <c r="B252" s="489" t="s">
        <v>4919</v>
      </c>
      <c r="C252" s="489" t="s">
        <v>4144</v>
      </c>
      <c r="D252" s="492" t="s">
        <v>2867</v>
      </c>
      <c r="E252" s="489" t="s">
        <v>2489</v>
      </c>
      <c r="F252" s="489">
        <v>1</v>
      </c>
      <c r="G252" s="498">
        <v>7800</v>
      </c>
      <c r="H252" s="498">
        <v>0</v>
      </c>
      <c r="I252" s="498">
        <v>8962.2000000000007</v>
      </c>
      <c r="J252" s="498" t="str">
        <f t="shared" si="75"/>
        <v>8962,2
(14.9%)</v>
      </c>
      <c r="K252" s="497">
        <f t="shared" si="76"/>
        <v>0</v>
      </c>
      <c r="L252" s="497">
        <f t="shared" si="77"/>
        <v>8962.2000000000007</v>
      </c>
      <c r="M252" s="497">
        <f t="shared" ref="M252:M269" si="78">ROUND((K252+L252), 2)</f>
        <v>8962.2000000000007</v>
      </c>
      <c r="N252" s="509">
        <f t="shared" si="70"/>
        <v>5.2474648495034679E-3</v>
      </c>
      <c r="O252" s="528">
        <f t="shared" si="61"/>
        <v>8962.2000000000007</v>
      </c>
      <c r="P252" s="528" t="str">
        <f t="shared" si="62"/>
        <v>OK</v>
      </c>
      <c r="R252">
        <f t="shared" si="71"/>
        <v>7800</v>
      </c>
    </row>
    <row r="253" spans="1:18" ht="39.6">
      <c r="A253" s="489" t="s">
        <v>4812</v>
      </c>
      <c r="B253" s="489" t="s">
        <v>4920</v>
      </c>
      <c r="C253" s="489" t="s">
        <v>4144</v>
      </c>
      <c r="D253" s="492" t="s">
        <v>3962</v>
      </c>
      <c r="E253" s="489" t="s">
        <v>2562</v>
      </c>
      <c r="F253" s="489">
        <v>1</v>
      </c>
      <c r="G253" s="498">
        <v>5800</v>
      </c>
      <c r="H253" s="498">
        <v>0</v>
      </c>
      <c r="I253" s="498">
        <v>6664.2</v>
      </c>
      <c r="J253" s="498" t="str">
        <f t="shared" si="75"/>
        <v>6664,2
(14.9%)</v>
      </c>
      <c r="K253" s="497">
        <f t="shared" si="76"/>
        <v>0</v>
      </c>
      <c r="L253" s="497">
        <f t="shared" si="77"/>
        <v>6664.2</v>
      </c>
      <c r="M253" s="497">
        <f t="shared" si="78"/>
        <v>6664.2</v>
      </c>
      <c r="N253" s="509">
        <f t="shared" si="70"/>
        <v>3.9019610419384755E-3</v>
      </c>
      <c r="O253" s="528">
        <f t="shared" si="61"/>
        <v>6664.2</v>
      </c>
      <c r="P253" s="528" t="str">
        <f t="shared" si="62"/>
        <v>OK</v>
      </c>
      <c r="R253">
        <f t="shared" si="71"/>
        <v>5800</v>
      </c>
    </row>
    <row r="254" spans="1:18" ht="26.4">
      <c r="A254" s="489" t="s">
        <v>4813</v>
      </c>
      <c r="B254" s="489" t="s">
        <v>4921</v>
      </c>
      <c r="C254" s="489" t="s">
        <v>4144</v>
      </c>
      <c r="D254" s="492" t="s">
        <v>3321</v>
      </c>
      <c r="E254" s="489" t="s">
        <v>2489</v>
      </c>
      <c r="F254" s="489">
        <v>11</v>
      </c>
      <c r="G254" s="498">
        <v>1520</v>
      </c>
      <c r="H254" s="498">
        <v>0</v>
      </c>
      <c r="I254" s="498">
        <v>1746.48</v>
      </c>
      <c r="J254" s="498" t="str">
        <f t="shared" si="75"/>
        <v>1746,48
(14.9%)</v>
      </c>
      <c r="K254" s="497">
        <f t="shared" si="76"/>
        <v>0</v>
      </c>
      <c r="L254" s="497">
        <f t="shared" si="77"/>
        <v>19211.28</v>
      </c>
      <c r="M254" s="497">
        <f t="shared" si="78"/>
        <v>19211.28</v>
      </c>
      <c r="N254" s="509">
        <f t="shared" si="70"/>
        <v>1.1248411831243329E-2</v>
      </c>
      <c r="O254" s="528">
        <f t="shared" si="61"/>
        <v>19211.28</v>
      </c>
      <c r="P254" s="528" t="str">
        <f t="shared" si="62"/>
        <v>OK</v>
      </c>
      <c r="R254">
        <f t="shared" si="71"/>
        <v>16720</v>
      </c>
    </row>
    <row r="255" spans="1:18" ht="26.4">
      <c r="A255" s="489" t="s">
        <v>4814</v>
      </c>
      <c r="B255" s="489" t="s">
        <v>4922</v>
      </c>
      <c r="C255" s="489" t="s">
        <v>4144</v>
      </c>
      <c r="D255" s="492" t="s">
        <v>3172</v>
      </c>
      <c r="E255" s="489" t="s">
        <v>2562</v>
      </c>
      <c r="F255" s="489">
        <v>57</v>
      </c>
      <c r="G255" s="498">
        <v>172.67</v>
      </c>
      <c r="H255" s="498">
        <v>0</v>
      </c>
      <c r="I255" s="498">
        <v>198.4</v>
      </c>
      <c r="J255" s="498" t="str">
        <f t="shared" si="75"/>
        <v>198,4
(14.9%)</v>
      </c>
      <c r="K255" s="497">
        <f t="shared" si="76"/>
        <v>0</v>
      </c>
      <c r="L255" s="497">
        <f t="shared" si="77"/>
        <v>11308.8</v>
      </c>
      <c r="M255" s="497">
        <f t="shared" si="78"/>
        <v>11308.8</v>
      </c>
      <c r="N255" s="509">
        <f t="shared" si="70"/>
        <v>6.6214244817193102E-3</v>
      </c>
      <c r="O255" s="528">
        <f t="shared" si="61"/>
        <v>11308.8</v>
      </c>
      <c r="P255" s="528" t="str">
        <f t="shared" si="62"/>
        <v>OK</v>
      </c>
      <c r="R255">
        <f t="shared" si="71"/>
        <v>9842.19</v>
      </c>
    </row>
    <row r="256" spans="1:18" ht="26.4">
      <c r="A256" s="489" t="s">
        <v>4815</v>
      </c>
      <c r="B256" s="489" t="s">
        <v>4923</v>
      </c>
      <c r="C256" s="489" t="s">
        <v>4144</v>
      </c>
      <c r="D256" s="492" t="s">
        <v>3174</v>
      </c>
      <c r="E256" s="489" t="s">
        <v>2489</v>
      </c>
      <c r="F256" s="489">
        <v>36</v>
      </c>
      <c r="G256" s="498">
        <v>120</v>
      </c>
      <c r="H256" s="498">
        <v>0</v>
      </c>
      <c r="I256" s="498">
        <v>137.88</v>
      </c>
      <c r="J256" s="498" t="str">
        <f t="shared" si="75"/>
        <v>137,88
(14.9%)</v>
      </c>
      <c r="K256" s="497">
        <f t="shared" si="76"/>
        <v>0</v>
      </c>
      <c r="L256" s="497">
        <f t="shared" si="77"/>
        <v>4963.68</v>
      </c>
      <c r="M256" s="497">
        <f t="shared" si="78"/>
        <v>4963.68</v>
      </c>
      <c r="N256" s="509">
        <f t="shared" si="70"/>
        <v>2.9062882243403821E-3</v>
      </c>
      <c r="O256" s="528">
        <f t="shared" si="61"/>
        <v>4963.68</v>
      </c>
      <c r="P256" s="528" t="str">
        <f t="shared" si="62"/>
        <v>OK</v>
      </c>
      <c r="R256">
        <f t="shared" si="71"/>
        <v>4320</v>
      </c>
    </row>
    <row r="257" spans="1:18" ht="26.4">
      <c r="A257" s="489" t="s">
        <v>4816</v>
      </c>
      <c r="B257" s="489" t="s">
        <v>4924</v>
      </c>
      <c r="C257" s="489" t="s">
        <v>4144</v>
      </c>
      <c r="D257" s="492" t="s">
        <v>4817</v>
      </c>
      <c r="E257" s="489" t="s">
        <v>2489</v>
      </c>
      <c r="F257" s="489">
        <v>10</v>
      </c>
      <c r="G257" s="498">
        <v>111.33</v>
      </c>
      <c r="H257" s="498">
        <v>0</v>
      </c>
      <c r="I257" s="498">
        <v>127.92</v>
      </c>
      <c r="J257" s="498" t="str">
        <f t="shared" si="75"/>
        <v>127,92
(14.9%)</v>
      </c>
      <c r="K257" s="497">
        <f t="shared" si="76"/>
        <v>0</v>
      </c>
      <c r="L257" s="497">
        <f t="shared" si="77"/>
        <v>1279.2</v>
      </c>
      <c r="M257" s="497">
        <f t="shared" si="78"/>
        <v>1279.2</v>
      </c>
      <c r="N257" s="509">
        <f t="shared" si="70"/>
        <v>7.4898540932860625E-4</v>
      </c>
      <c r="O257" s="528">
        <f t="shared" si="61"/>
        <v>1279.2</v>
      </c>
      <c r="P257" s="528" t="str">
        <f t="shared" si="62"/>
        <v>OK</v>
      </c>
      <c r="R257">
        <f t="shared" si="71"/>
        <v>1113.3</v>
      </c>
    </row>
    <row r="258" spans="1:18" ht="26.4">
      <c r="A258" s="489" t="s">
        <v>4818</v>
      </c>
      <c r="B258" s="489" t="s">
        <v>4925</v>
      </c>
      <c r="C258" s="489" t="s">
        <v>4144</v>
      </c>
      <c r="D258" s="492" t="s">
        <v>3182</v>
      </c>
      <c r="E258" s="489" t="s">
        <v>2489</v>
      </c>
      <c r="F258" s="489">
        <v>4</v>
      </c>
      <c r="G258" s="498">
        <v>326.17</v>
      </c>
      <c r="H258" s="498">
        <v>0</v>
      </c>
      <c r="I258" s="498">
        <v>374.77</v>
      </c>
      <c r="J258" s="498" t="str">
        <f t="shared" si="75"/>
        <v>374,77
(14.9%)</v>
      </c>
      <c r="K258" s="497">
        <f t="shared" si="76"/>
        <v>0</v>
      </c>
      <c r="L258" s="497">
        <f t="shared" si="77"/>
        <v>1499.08</v>
      </c>
      <c r="M258" s="497">
        <f t="shared" si="78"/>
        <v>1499.08</v>
      </c>
      <c r="N258" s="509">
        <f t="shared" si="70"/>
        <v>8.7772752299587796E-4</v>
      </c>
      <c r="O258" s="528">
        <f t="shared" si="61"/>
        <v>1499.08</v>
      </c>
      <c r="P258" s="528" t="str">
        <f t="shared" si="62"/>
        <v>OK</v>
      </c>
      <c r="R258">
        <f t="shared" si="71"/>
        <v>1304.68</v>
      </c>
    </row>
    <row r="259" spans="1:18" ht="26.4">
      <c r="A259" s="489" t="s">
        <v>4819</v>
      </c>
      <c r="B259" s="489" t="s">
        <v>4926</v>
      </c>
      <c r="C259" s="489" t="s">
        <v>4144</v>
      </c>
      <c r="D259" s="492" t="s">
        <v>4820</v>
      </c>
      <c r="E259" s="489" t="s">
        <v>2489</v>
      </c>
      <c r="F259" s="489">
        <v>16</v>
      </c>
      <c r="G259" s="498">
        <v>669</v>
      </c>
      <c r="H259" s="498">
        <v>0</v>
      </c>
      <c r="I259" s="498">
        <v>768.68</v>
      </c>
      <c r="J259" s="498" t="str">
        <f t="shared" si="75"/>
        <v>768,68
(14.9%)</v>
      </c>
      <c r="K259" s="497">
        <f t="shared" si="76"/>
        <v>0</v>
      </c>
      <c r="L259" s="497">
        <f t="shared" si="77"/>
        <v>12298.88</v>
      </c>
      <c r="M259" s="497">
        <f t="shared" si="78"/>
        <v>12298.88</v>
      </c>
      <c r="N259" s="509">
        <f t="shared" si="70"/>
        <v>7.2011270099151094E-3</v>
      </c>
      <c r="O259" s="528">
        <f t="shared" si="61"/>
        <v>12298.88</v>
      </c>
      <c r="P259" s="528" t="str">
        <f t="shared" si="62"/>
        <v>OK</v>
      </c>
      <c r="R259">
        <f t="shared" si="71"/>
        <v>10704</v>
      </c>
    </row>
    <row r="260" spans="1:18" ht="26.4">
      <c r="A260" s="489" t="s">
        <v>4821</v>
      </c>
      <c r="B260" s="489" t="s">
        <v>4927</v>
      </c>
      <c r="C260" s="489" t="s">
        <v>4144</v>
      </c>
      <c r="D260" s="492" t="s">
        <v>4822</v>
      </c>
      <c r="E260" s="489" t="s">
        <v>2489</v>
      </c>
      <c r="F260" s="489">
        <v>365</v>
      </c>
      <c r="G260" s="498">
        <v>3.5</v>
      </c>
      <c r="H260" s="498">
        <v>0</v>
      </c>
      <c r="I260" s="498">
        <v>4.0199999999999996</v>
      </c>
      <c r="J260" s="498" t="str">
        <f t="shared" si="75"/>
        <v>4,02
(14.9%)</v>
      </c>
      <c r="K260" s="497">
        <f t="shared" si="76"/>
        <v>0</v>
      </c>
      <c r="L260" s="497">
        <f t="shared" si="77"/>
        <v>1467.3</v>
      </c>
      <c r="M260" s="497">
        <f t="shared" si="78"/>
        <v>1467.3</v>
      </c>
      <c r="N260" s="509">
        <f t="shared" si="70"/>
        <v>8.5911998992171978E-4</v>
      </c>
      <c r="O260" s="528">
        <f t="shared" ref="O260:O269" si="79">K260+L260</f>
        <v>1467.3</v>
      </c>
      <c r="P260" s="528" t="str">
        <f t="shared" ref="P260:P269" si="80">IF(O260=M260,"OK","NÃO")</f>
        <v>OK</v>
      </c>
      <c r="R260">
        <f t="shared" si="71"/>
        <v>1277.5</v>
      </c>
    </row>
    <row r="261" spans="1:18" ht="26.4">
      <c r="A261" s="489" t="s">
        <v>4823</v>
      </c>
      <c r="B261" s="489" t="s">
        <v>4928</v>
      </c>
      <c r="C261" s="489" t="s">
        <v>4144</v>
      </c>
      <c r="D261" s="492" t="s">
        <v>3184</v>
      </c>
      <c r="E261" s="489" t="s">
        <v>2489</v>
      </c>
      <c r="F261" s="489">
        <v>48</v>
      </c>
      <c r="G261" s="498">
        <v>67.069999999999993</v>
      </c>
      <c r="H261" s="498">
        <v>0</v>
      </c>
      <c r="I261" s="498">
        <v>77.06</v>
      </c>
      <c r="J261" s="498" t="str">
        <f t="shared" si="75"/>
        <v>77,06
(14.9%)</v>
      </c>
      <c r="K261" s="497">
        <f t="shared" si="76"/>
        <v>0</v>
      </c>
      <c r="L261" s="497">
        <f t="shared" si="77"/>
        <v>3698.88</v>
      </c>
      <c r="M261" s="497">
        <f t="shared" si="78"/>
        <v>3698.88</v>
      </c>
      <c r="N261" s="509">
        <f t="shared" si="70"/>
        <v>2.1657341704638799E-3</v>
      </c>
      <c r="O261" s="528">
        <f t="shared" si="79"/>
        <v>3698.88</v>
      </c>
      <c r="P261" s="528" t="str">
        <f t="shared" si="80"/>
        <v>OK</v>
      </c>
      <c r="R261">
        <f t="shared" si="71"/>
        <v>3219.36</v>
      </c>
    </row>
    <row r="262" spans="1:18" ht="26.4">
      <c r="A262" s="489" t="s">
        <v>4824</v>
      </c>
      <c r="B262" s="489" t="s">
        <v>4929</v>
      </c>
      <c r="C262" s="489" t="s">
        <v>4144</v>
      </c>
      <c r="D262" s="492" t="s">
        <v>4825</v>
      </c>
      <c r="E262" s="489" t="s">
        <v>2489</v>
      </c>
      <c r="F262" s="489">
        <v>20</v>
      </c>
      <c r="G262" s="498">
        <v>34.99</v>
      </c>
      <c r="H262" s="498">
        <v>0</v>
      </c>
      <c r="I262" s="498">
        <v>40.200000000000003</v>
      </c>
      <c r="J262" s="498" t="str">
        <f t="shared" si="75"/>
        <v>40,2
(14.9%)</v>
      </c>
      <c r="K262" s="497">
        <f t="shared" si="76"/>
        <v>0</v>
      </c>
      <c r="L262" s="497">
        <f t="shared" si="77"/>
        <v>804</v>
      </c>
      <c r="M262" s="497">
        <f t="shared" si="78"/>
        <v>804</v>
      </c>
      <c r="N262" s="509">
        <f t="shared" si="70"/>
        <v>4.7075067940916156E-4</v>
      </c>
      <c r="O262" s="528">
        <f t="shared" si="79"/>
        <v>804</v>
      </c>
      <c r="P262" s="528" t="str">
        <f t="shared" si="80"/>
        <v>OK</v>
      </c>
      <c r="R262">
        <f t="shared" si="71"/>
        <v>699.8</v>
      </c>
    </row>
    <row r="263" spans="1:18" ht="39.6">
      <c r="A263" s="489" t="s">
        <v>4826</v>
      </c>
      <c r="B263" s="489" t="s">
        <v>4930</v>
      </c>
      <c r="C263" s="489" t="s">
        <v>4144</v>
      </c>
      <c r="D263" s="492" t="s">
        <v>4827</v>
      </c>
      <c r="E263" s="489" t="s">
        <v>2489</v>
      </c>
      <c r="F263" s="489">
        <v>60</v>
      </c>
      <c r="G263" s="498">
        <v>30</v>
      </c>
      <c r="H263" s="498">
        <v>0</v>
      </c>
      <c r="I263" s="498">
        <v>34.47</v>
      </c>
      <c r="J263" s="498" t="str">
        <f t="shared" si="75"/>
        <v>34,47
(14.9%)</v>
      </c>
      <c r="K263" s="497">
        <f t="shared" si="76"/>
        <v>0</v>
      </c>
      <c r="L263" s="497">
        <f t="shared" si="77"/>
        <v>2068.1999999999998</v>
      </c>
      <c r="M263" s="497">
        <f t="shared" si="78"/>
        <v>2068.1999999999998</v>
      </c>
      <c r="N263" s="509">
        <f t="shared" si="70"/>
        <v>1.2109534268084923E-3</v>
      </c>
      <c r="O263" s="528">
        <f t="shared" si="79"/>
        <v>2068.1999999999998</v>
      </c>
      <c r="P263" s="528" t="str">
        <f t="shared" si="80"/>
        <v>OK</v>
      </c>
      <c r="R263">
        <f t="shared" si="71"/>
        <v>1800</v>
      </c>
    </row>
    <row r="264" spans="1:18" ht="26.4">
      <c r="A264" s="489" t="s">
        <v>4828</v>
      </c>
      <c r="B264" s="489" t="s">
        <v>4931</v>
      </c>
      <c r="C264" s="489" t="s">
        <v>4144</v>
      </c>
      <c r="D264" s="492" t="s">
        <v>4829</v>
      </c>
      <c r="E264" s="489" t="s">
        <v>2489</v>
      </c>
      <c r="F264" s="489">
        <v>10</v>
      </c>
      <c r="G264" s="498">
        <v>56.63</v>
      </c>
      <c r="H264" s="498">
        <v>0</v>
      </c>
      <c r="I264" s="498">
        <v>65.069999999999993</v>
      </c>
      <c r="J264" s="498" t="str">
        <f t="shared" si="75"/>
        <v>65,07
(14.9%)</v>
      </c>
      <c r="K264" s="497">
        <f t="shared" si="76"/>
        <v>0</v>
      </c>
      <c r="L264" s="497">
        <f t="shared" si="77"/>
        <v>650.70000000000005</v>
      </c>
      <c r="M264" s="497">
        <f t="shared" si="78"/>
        <v>650.70000000000005</v>
      </c>
      <c r="N264" s="509">
        <f t="shared" si="70"/>
        <v>3.8099187449196697E-4</v>
      </c>
      <c r="O264" s="528">
        <f t="shared" si="79"/>
        <v>650.70000000000005</v>
      </c>
      <c r="P264" s="528" t="str">
        <f t="shared" si="80"/>
        <v>OK</v>
      </c>
      <c r="R264">
        <f t="shared" si="71"/>
        <v>566.29999999999995</v>
      </c>
    </row>
    <row r="265" spans="1:18" ht="26.4">
      <c r="A265" s="489" t="s">
        <v>4830</v>
      </c>
      <c r="B265" s="489" t="s">
        <v>4932</v>
      </c>
      <c r="C265" s="489" t="s">
        <v>4144</v>
      </c>
      <c r="D265" s="492" t="s">
        <v>3191</v>
      </c>
      <c r="E265" s="489" t="s">
        <v>2489</v>
      </c>
      <c r="F265" s="489">
        <v>30</v>
      </c>
      <c r="G265" s="498">
        <v>59.5</v>
      </c>
      <c r="H265" s="498">
        <v>0</v>
      </c>
      <c r="I265" s="498">
        <v>68.37</v>
      </c>
      <c r="J265" s="498" t="str">
        <f t="shared" si="75"/>
        <v>68,37
(14.9%)</v>
      </c>
      <c r="K265" s="497">
        <f t="shared" si="76"/>
        <v>0</v>
      </c>
      <c r="L265" s="497">
        <f t="shared" si="77"/>
        <v>2051.1</v>
      </c>
      <c r="M265" s="497">
        <f t="shared" si="78"/>
        <v>2051.1</v>
      </c>
      <c r="N265" s="509">
        <f t="shared" si="70"/>
        <v>1.2009411922091185E-3</v>
      </c>
      <c r="O265" s="528">
        <f t="shared" si="79"/>
        <v>2051.1</v>
      </c>
      <c r="P265" s="528" t="str">
        <f t="shared" si="80"/>
        <v>OK</v>
      </c>
      <c r="R265">
        <f t="shared" si="71"/>
        <v>1785</v>
      </c>
    </row>
    <row r="266" spans="1:18" ht="26.4">
      <c r="A266" s="489" t="s">
        <v>4831</v>
      </c>
      <c r="B266" s="489" t="s">
        <v>4933</v>
      </c>
      <c r="C266" s="489" t="s">
        <v>4144</v>
      </c>
      <c r="D266" s="492" t="s">
        <v>4832</v>
      </c>
      <c r="E266" s="489" t="s">
        <v>2489</v>
      </c>
      <c r="F266" s="489">
        <v>15</v>
      </c>
      <c r="G266" s="498">
        <v>37.07</v>
      </c>
      <c r="H266" s="498">
        <v>0</v>
      </c>
      <c r="I266" s="498">
        <v>42.59</v>
      </c>
      <c r="J266" s="498" t="str">
        <f t="shared" si="75"/>
        <v>42,59
(14.9%)</v>
      </c>
      <c r="K266" s="497">
        <f t="shared" si="76"/>
        <v>0</v>
      </c>
      <c r="L266" s="497">
        <f t="shared" si="77"/>
        <v>638.85</v>
      </c>
      <c r="M266" s="497">
        <f t="shared" si="78"/>
        <v>638.85</v>
      </c>
      <c r="N266" s="509">
        <f t="shared" si="70"/>
        <v>3.740535715678394E-4</v>
      </c>
      <c r="O266" s="528">
        <f t="shared" si="79"/>
        <v>638.85</v>
      </c>
      <c r="P266" s="528" t="str">
        <f t="shared" si="80"/>
        <v>OK</v>
      </c>
      <c r="R266">
        <f t="shared" si="71"/>
        <v>556.04999999999995</v>
      </c>
    </row>
    <row r="267" spans="1:18" ht="39.6">
      <c r="A267" s="489" t="s">
        <v>4833</v>
      </c>
      <c r="B267" s="489" t="s">
        <v>4834</v>
      </c>
      <c r="C267" s="489" t="s">
        <v>4155</v>
      </c>
      <c r="D267" s="492" t="s">
        <v>4835</v>
      </c>
      <c r="E267" s="489" t="s">
        <v>2477</v>
      </c>
      <c r="F267" s="489">
        <v>6</v>
      </c>
      <c r="G267" s="498">
        <v>1864.86</v>
      </c>
      <c r="H267" s="498">
        <v>0</v>
      </c>
      <c r="I267" s="498">
        <v>2142.7199999999998</v>
      </c>
      <c r="J267" s="498" t="str">
        <f t="shared" si="75"/>
        <v>2142,72
(14.9%)</v>
      </c>
      <c r="K267" s="497">
        <f t="shared" si="76"/>
        <v>0</v>
      </c>
      <c r="L267" s="497">
        <f t="shared" si="77"/>
        <v>12856.32</v>
      </c>
      <c r="M267" s="497">
        <f t="shared" si="78"/>
        <v>12856.32</v>
      </c>
      <c r="N267" s="509">
        <f t="shared" si="70"/>
        <v>7.5275141476387952E-3</v>
      </c>
      <c r="O267" s="528">
        <f t="shared" si="79"/>
        <v>12856.32</v>
      </c>
      <c r="P267" s="528" t="str">
        <f t="shared" si="80"/>
        <v>OK</v>
      </c>
      <c r="R267">
        <f t="shared" si="71"/>
        <v>11189.16</v>
      </c>
    </row>
    <row r="268" spans="1:18" ht="26.4">
      <c r="A268" s="489" t="s">
        <v>4836</v>
      </c>
      <c r="B268" s="489" t="s">
        <v>4934</v>
      </c>
      <c r="C268" s="489" t="s">
        <v>4144</v>
      </c>
      <c r="D268" s="492" t="s">
        <v>3061</v>
      </c>
      <c r="E268" s="489" t="s">
        <v>3040</v>
      </c>
      <c r="F268" s="489">
        <v>9.68</v>
      </c>
      <c r="G268" s="498">
        <v>240</v>
      </c>
      <c r="H268" s="498">
        <v>0</v>
      </c>
      <c r="I268" s="498">
        <v>275.76</v>
      </c>
      <c r="J268" s="498" t="str">
        <f t="shared" si="75"/>
        <v>275,76
(14.9%)</v>
      </c>
      <c r="K268" s="497">
        <f t="shared" si="76"/>
        <v>0</v>
      </c>
      <c r="L268" s="497">
        <f t="shared" si="77"/>
        <v>2669.36</v>
      </c>
      <c r="M268" s="497">
        <f t="shared" si="78"/>
        <v>2669.36</v>
      </c>
      <c r="N268" s="509">
        <f t="shared" si="70"/>
        <v>1.5629390965020392E-3</v>
      </c>
      <c r="O268" s="528">
        <f t="shared" si="79"/>
        <v>2669.36</v>
      </c>
      <c r="P268" s="528" t="str">
        <f t="shared" si="80"/>
        <v>OK</v>
      </c>
      <c r="R268">
        <f t="shared" si="71"/>
        <v>2323.1999999999998</v>
      </c>
    </row>
    <row r="269" spans="1:18" ht="26.4">
      <c r="A269" s="489" t="s">
        <v>4837</v>
      </c>
      <c r="B269" s="489" t="s">
        <v>4935</v>
      </c>
      <c r="C269" s="489" t="s">
        <v>4144</v>
      </c>
      <c r="D269" s="492" t="s">
        <v>3674</v>
      </c>
      <c r="E269" s="489" t="s">
        <v>3040</v>
      </c>
      <c r="F269" s="489">
        <v>84.48</v>
      </c>
      <c r="G269" s="498">
        <v>270</v>
      </c>
      <c r="H269" s="498">
        <v>0</v>
      </c>
      <c r="I269" s="498">
        <v>310.23</v>
      </c>
      <c r="J269" s="498" t="str">
        <f t="shared" si="75"/>
        <v>310,23
(14.9%)</v>
      </c>
      <c r="K269" s="497">
        <f t="shared" si="76"/>
        <v>0</v>
      </c>
      <c r="L269" s="497">
        <f t="shared" si="77"/>
        <v>26208.23</v>
      </c>
      <c r="M269" s="497">
        <f t="shared" si="78"/>
        <v>26208.23</v>
      </c>
      <c r="N269" s="509">
        <f t="shared" si="70"/>
        <v>1.5345201590312897E-2</v>
      </c>
      <c r="O269" s="528">
        <f t="shared" si="79"/>
        <v>26208.23</v>
      </c>
      <c r="P269" s="528" t="str">
        <f t="shared" si="80"/>
        <v>OK</v>
      </c>
      <c r="R269">
        <f t="shared" si="71"/>
        <v>22809.599999999999</v>
      </c>
    </row>
    <row r="270" spans="1:18">
      <c r="A270" s="499"/>
      <c r="B270" s="499"/>
      <c r="C270" s="499"/>
      <c r="D270" s="493"/>
      <c r="E270" s="499"/>
      <c r="F270" s="499"/>
      <c r="G270" s="499"/>
      <c r="H270" s="499"/>
      <c r="I270" s="499"/>
      <c r="J270" s="499" t="s">
        <v>4936</v>
      </c>
      <c r="K270" s="508">
        <f>ROUND((SUM(K22:K269)),2)</f>
        <v>289687.78000000003</v>
      </c>
      <c r="L270" s="508">
        <f>ROUND((SUM(L22:L269)),2)</f>
        <v>1418222.66</v>
      </c>
      <c r="M270" s="508">
        <f>K270+L270</f>
        <v>1707910.44</v>
      </c>
      <c r="N270" s="499"/>
      <c r="R270" s="508">
        <f>ROUND((SUM(R22:R269)),2)</f>
        <v>1375846.75</v>
      </c>
    </row>
    <row r="271" spans="1:18">
      <c r="A271" s="503"/>
      <c r="B271" s="503"/>
      <c r="C271" s="503"/>
      <c r="D271" s="504"/>
      <c r="E271" s="503"/>
      <c r="F271" s="503"/>
      <c r="G271" s="503"/>
      <c r="H271" s="503"/>
      <c r="I271" s="503"/>
      <c r="J271" s="503"/>
      <c r="K271" s="503"/>
      <c r="L271" s="503"/>
      <c r="M271" s="503"/>
      <c r="N271" s="503"/>
    </row>
    <row r="272" spans="1:18">
      <c r="A272" s="582"/>
      <c r="B272" s="582"/>
      <c r="C272" s="582"/>
      <c r="D272" s="504"/>
      <c r="E272" s="505"/>
      <c r="F272" s="505"/>
      <c r="G272" s="505"/>
      <c r="H272" s="505"/>
      <c r="I272" s="505"/>
      <c r="J272" s="582" t="s">
        <v>4838</v>
      </c>
      <c r="K272" s="582"/>
      <c r="L272" s="583">
        <f>R270</f>
        <v>1375846.75</v>
      </c>
      <c r="M272" s="582"/>
      <c r="N272" s="582"/>
    </row>
    <row r="273" spans="1:14">
      <c r="A273" s="582"/>
      <c r="B273" s="582"/>
      <c r="C273" s="582"/>
      <c r="D273" s="504"/>
      <c r="E273" s="505"/>
      <c r="F273" s="505"/>
      <c r="G273" s="505"/>
      <c r="H273" s="505"/>
      <c r="I273" s="505"/>
      <c r="J273" s="582" t="s">
        <v>4839</v>
      </c>
      <c r="K273" s="582"/>
      <c r="L273" s="583">
        <f>L274-L272</f>
        <v>332063.68999999994</v>
      </c>
      <c r="M273" s="582"/>
      <c r="N273" s="582"/>
    </row>
    <row r="274" spans="1:14">
      <c r="A274" s="582"/>
      <c r="B274" s="582"/>
      <c r="C274" s="582"/>
      <c r="D274" s="504"/>
      <c r="E274" s="505"/>
      <c r="F274" s="505"/>
      <c r="G274" s="505"/>
      <c r="H274" s="505"/>
      <c r="I274" s="505"/>
      <c r="J274" s="582" t="s">
        <v>4840</v>
      </c>
      <c r="K274" s="582"/>
      <c r="L274" s="583">
        <f>M270</f>
        <v>1707910.44</v>
      </c>
      <c r="M274" s="582"/>
      <c r="N274" s="582"/>
    </row>
    <row r="276" spans="1:14">
      <c r="M276" s="528"/>
    </row>
  </sheetData>
  <mergeCells count="38">
    <mergeCell ref="L11:M11"/>
    <mergeCell ref="A1:N1"/>
    <mergeCell ref="B3:N3"/>
    <mergeCell ref="B4:N4"/>
    <mergeCell ref="B5:N5"/>
    <mergeCell ref="H9:I9"/>
    <mergeCell ref="L12:M12"/>
    <mergeCell ref="H13:I13"/>
    <mergeCell ref="L13:M13"/>
    <mergeCell ref="H14:I14"/>
    <mergeCell ref="E16:F16"/>
    <mergeCell ref="G16:H16"/>
    <mergeCell ref="I16:J16"/>
    <mergeCell ref="E17:G17"/>
    <mergeCell ref="H17:J17"/>
    <mergeCell ref="K17:N17"/>
    <mergeCell ref="E18:G18"/>
    <mergeCell ref="H18:J18"/>
    <mergeCell ref="K18:N18"/>
    <mergeCell ref="G19:G20"/>
    <mergeCell ref="H19:J19"/>
    <mergeCell ref="K19:M19"/>
    <mergeCell ref="N19:N20"/>
    <mergeCell ref="A272:C272"/>
    <mergeCell ref="J272:K272"/>
    <mergeCell ref="L272:N272"/>
    <mergeCell ref="A19:A20"/>
    <mergeCell ref="B19:B20"/>
    <mergeCell ref="C19:C20"/>
    <mergeCell ref="D19:D20"/>
    <mergeCell ref="E19:E20"/>
    <mergeCell ref="F19:F20"/>
    <mergeCell ref="A273:C273"/>
    <mergeCell ref="J273:K273"/>
    <mergeCell ref="L273:N273"/>
    <mergeCell ref="A274:C274"/>
    <mergeCell ref="J274:K274"/>
    <mergeCell ref="L274:N274"/>
  </mergeCells>
  <pageMargins left="0.51181102362204722" right="0.51181102362204722" top="0.78740157480314965" bottom="0.78740157480314965" header="0.31496062992125984" footer="0.31496062992125984"/>
  <pageSetup paperSize="9" scale="62" fitToHeight="0" orientation="landscape" r:id="rId1"/>
  <headerFooter>
    <oddHeader>&amp;C&amp;G</oddHeader>
    <oddFooter>&amp;L&amp;G&amp;CPágina &amp;P de &amp;N&amp;R_______________________________
Lorena Araújo Silva
Eng. Civil CREA 1015611540D -GO</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2A80-522B-4FF3-83BC-4323463FE926}">
  <sheetPr>
    <pageSetUpPr fitToPage="1"/>
  </sheetPr>
  <dimension ref="A1:G27"/>
  <sheetViews>
    <sheetView workbookViewId="0">
      <selection activeCell="G27" sqref="A1:G27"/>
    </sheetView>
  </sheetViews>
  <sheetFormatPr defaultRowHeight="14.4"/>
  <cols>
    <col min="1" max="1" width="48.21875" customWidth="1"/>
    <col min="2" max="2" width="14.44140625" customWidth="1"/>
    <col min="3" max="3" width="18" customWidth="1"/>
    <col min="4" max="4" width="15.44140625" customWidth="1"/>
    <col min="5" max="5" width="16.5546875" customWidth="1"/>
    <col min="6" max="6" width="14.88671875" customWidth="1"/>
    <col min="7" max="7" width="18.33203125" customWidth="1"/>
  </cols>
  <sheetData>
    <row r="1" spans="1:7" ht="16.2" thickBot="1">
      <c r="A1" s="596" t="s">
        <v>4937</v>
      </c>
      <c r="B1" s="597"/>
      <c r="C1" s="597"/>
      <c r="D1" s="597"/>
      <c r="E1" s="597"/>
      <c r="F1" s="597"/>
      <c r="G1" s="598"/>
    </row>
    <row r="2" spans="1:7" ht="16.2" thickBot="1">
      <c r="A2" s="511"/>
      <c r="B2" s="512"/>
      <c r="C2" s="511"/>
      <c r="D2" s="513"/>
      <c r="E2" s="514"/>
      <c r="F2" s="382"/>
      <c r="G2" s="382"/>
    </row>
    <row r="3" spans="1:7" ht="27.6" customHeight="1">
      <c r="A3" s="599" t="s">
        <v>4949</v>
      </c>
      <c r="B3" s="600"/>
      <c r="C3" s="600"/>
      <c r="D3" s="600"/>
      <c r="E3" s="600"/>
      <c r="F3" s="600"/>
      <c r="G3" s="601"/>
    </row>
    <row r="4" spans="1:7" ht="14.4" customHeight="1">
      <c r="A4" s="602" t="s">
        <v>4938</v>
      </c>
      <c r="B4" s="603"/>
      <c r="C4" s="603"/>
      <c r="D4" s="603"/>
      <c r="E4" s="603"/>
      <c r="F4" s="603"/>
      <c r="G4" s="604"/>
    </row>
    <row r="5" spans="1:7" ht="15" thickBot="1">
      <c r="A5" s="605" t="s">
        <v>4950</v>
      </c>
      <c r="B5" s="606"/>
      <c r="C5" s="606"/>
      <c r="D5" s="606"/>
      <c r="E5" s="606"/>
      <c r="F5" s="606"/>
      <c r="G5" s="607"/>
    </row>
    <row r="6" spans="1:7">
      <c r="A6" s="383"/>
      <c r="B6" s="381"/>
      <c r="C6" s="381"/>
      <c r="D6" s="381"/>
      <c r="E6" s="382"/>
      <c r="F6" s="382"/>
      <c r="G6" s="382"/>
    </row>
    <row r="7" spans="1:7" ht="15" thickBot="1">
      <c r="A7" s="383"/>
      <c r="B7" s="381"/>
      <c r="C7" s="381"/>
      <c r="D7" s="381"/>
      <c r="E7" s="382"/>
      <c r="F7" s="382"/>
      <c r="G7" s="382"/>
    </row>
    <row r="8" spans="1:7" ht="15.6">
      <c r="A8" s="608" t="s">
        <v>4092</v>
      </c>
      <c r="B8" s="609"/>
      <c r="C8" s="609"/>
      <c r="D8" s="609"/>
      <c r="E8" s="609"/>
      <c r="F8" s="609"/>
      <c r="G8" s="610"/>
    </row>
    <row r="9" spans="1:7" ht="15.6">
      <c r="A9" s="515"/>
      <c r="B9" s="516" t="s">
        <v>4939</v>
      </c>
      <c r="C9" s="517"/>
      <c r="D9" s="517"/>
      <c r="E9" s="517"/>
      <c r="F9" s="518"/>
      <c r="G9" s="519">
        <v>8.0000000000000002E-3</v>
      </c>
    </row>
    <row r="10" spans="1:7" ht="15.6">
      <c r="A10" s="515"/>
      <c r="B10" s="516" t="s">
        <v>4940</v>
      </c>
      <c r="C10" s="517"/>
      <c r="D10" s="517"/>
      <c r="E10" s="517"/>
      <c r="F10" s="518"/>
      <c r="G10" s="519">
        <v>9.7000000000000003E-3</v>
      </c>
    </row>
    <row r="11" spans="1:7" ht="15.6">
      <c r="A11" s="515"/>
      <c r="B11" s="516" t="s">
        <v>4941</v>
      </c>
      <c r="C11" s="517"/>
      <c r="D11" s="517"/>
      <c r="E11" s="517"/>
      <c r="F11" s="518"/>
      <c r="G11" s="519">
        <v>5.8999999999999999E-3</v>
      </c>
    </row>
    <row r="12" spans="1:7" ht="15.6">
      <c r="A12" s="515"/>
      <c r="B12" s="516" t="s">
        <v>4942</v>
      </c>
      <c r="C12" s="517"/>
      <c r="D12" s="517"/>
      <c r="E12" s="517"/>
      <c r="F12" s="518"/>
      <c r="G12" s="519">
        <v>0.03</v>
      </c>
    </row>
    <row r="13" spans="1:7" ht="15.6">
      <c r="A13" s="515"/>
      <c r="B13" s="516" t="s">
        <v>4943</v>
      </c>
      <c r="C13" s="517"/>
      <c r="D13" s="517"/>
      <c r="E13" s="517"/>
      <c r="F13" s="518"/>
      <c r="G13" s="519">
        <v>6.6500000000000004E-2</v>
      </c>
    </row>
    <row r="14" spans="1:7" ht="15.6">
      <c r="A14" s="515"/>
      <c r="B14" s="516" t="s">
        <v>4944</v>
      </c>
      <c r="C14" s="517"/>
      <c r="D14" s="517"/>
      <c r="E14" s="517"/>
      <c r="F14" s="518"/>
      <c r="G14" s="519">
        <v>6.1600000000000002E-2</v>
      </c>
    </row>
    <row r="15" spans="1:7" ht="15.6">
      <c r="A15" s="515"/>
      <c r="B15" s="516" t="s">
        <v>4945</v>
      </c>
      <c r="C15" s="517"/>
      <c r="D15" s="517"/>
      <c r="E15" s="517"/>
      <c r="F15" s="518"/>
      <c r="G15" s="519">
        <v>4.4999999999999998E-2</v>
      </c>
    </row>
    <row r="16" spans="1:7" ht="16.2" thickBot="1">
      <c r="A16" s="611" t="s">
        <v>4946</v>
      </c>
      <c r="B16" s="612"/>
      <c r="C16" s="612"/>
      <c r="D16" s="612"/>
      <c r="E16" s="612"/>
      <c r="F16" s="612"/>
      <c r="G16" s="520">
        <f>ROUND((((1+G12+G10+G9)*(1+G11)*(1+G14))/(1-(G15+G13)))-1,4)</f>
        <v>0.25919999999999999</v>
      </c>
    </row>
    <row r="17" spans="1:7">
      <c r="A17" s="383"/>
      <c r="B17" s="381"/>
      <c r="C17" s="381"/>
      <c r="D17" s="381"/>
      <c r="E17" s="382"/>
      <c r="F17" s="382"/>
      <c r="G17" s="382"/>
    </row>
    <row r="18" spans="1:7" ht="15" thickBot="1">
      <c r="A18" s="383"/>
      <c r="B18" s="381"/>
      <c r="C18" s="381"/>
      <c r="D18" s="381"/>
      <c r="E18" s="382"/>
      <c r="F18" s="382"/>
      <c r="G18" s="382"/>
    </row>
    <row r="19" spans="1:7" ht="15.6">
      <c r="A19" s="591" t="s">
        <v>4093</v>
      </c>
      <c r="B19" s="592"/>
      <c r="C19" s="592"/>
      <c r="D19" s="592"/>
      <c r="E19" s="592"/>
      <c r="F19" s="592"/>
      <c r="G19" s="593"/>
    </row>
    <row r="20" spans="1:7" ht="15.6">
      <c r="A20" s="521"/>
      <c r="B20" s="522" t="s">
        <v>4939</v>
      </c>
      <c r="C20" s="523"/>
      <c r="D20" s="523"/>
      <c r="E20" s="523"/>
      <c r="F20" s="524"/>
      <c r="G20" s="525">
        <v>8.0000000000000002E-3</v>
      </c>
    </row>
    <row r="21" spans="1:7" ht="15.6">
      <c r="A21" s="515"/>
      <c r="B21" s="522" t="s">
        <v>4940</v>
      </c>
      <c r="C21" s="523"/>
      <c r="D21" s="523"/>
      <c r="E21" s="523"/>
      <c r="F21" s="524"/>
      <c r="G21" s="525">
        <v>8.8999999999999999E-3</v>
      </c>
    </row>
    <row r="22" spans="1:7" ht="15.6">
      <c r="A22" s="515"/>
      <c r="B22" s="522" t="s">
        <v>4941</v>
      </c>
      <c r="C22" s="523"/>
      <c r="D22" s="523"/>
      <c r="E22" s="523"/>
      <c r="F22" s="524"/>
      <c r="G22" s="525">
        <v>5.8999999999999999E-3</v>
      </c>
    </row>
    <row r="23" spans="1:7" ht="15.6">
      <c r="A23" s="515"/>
      <c r="B23" s="522" t="s">
        <v>4942</v>
      </c>
      <c r="C23" s="523"/>
      <c r="D23" s="523"/>
      <c r="E23" s="523"/>
      <c r="F23" s="524"/>
      <c r="G23" s="525">
        <v>0.03</v>
      </c>
    </row>
    <row r="24" spans="1:7" ht="15.6">
      <c r="A24" s="515"/>
      <c r="B24" s="522" t="s">
        <v>4947</v>
      </c>
      <c r="C24" s="523"/>
      <c r="D24" s="523"/>
      <c r="E24" s="523"/>
      <c r="F24" s="524"/>
      <c r="G24" s="525">
        <v>3.95E-2</v>
      </c>
    </row>
    <row r="25" spans="1:7" ht="15.6">
      <c r="A25" s="515"/>
      <c r="B25" s="522" t="s">
        <v>4948</v>
      </c>
      <c r="C25" s="523"/>
      <c r="D25" s="523"/>
      <c r="E25" s="523"/>
      <c r="F25" s="524"/>
      <c r="G25" s="525">
        <v>4.8000000000000001E-2</v>
      </c>
    </row>
    <row r="26" spans="1:7" ht="15.6">
      <c r="A26" s="515"/>
      <c r="B26" s="526"/>
      <c r="C26" s="523"/>
      <c r="D26" s="523"/>
      <c r="E26" s="523"/>
      <c r="F26" s="524"/>
      <c r="G26" s="525"/>
    </row>
    <row r="27" spans="1:7" ht="16.2" thickBot="1">
      <c r="A27" s="594" t="s">
        <v>4946</v>
      </c>
      <c r="B27" s="595"/>
      <c r="C27" s="595"/>
      <c r="D27" s="595"/>
      <c r="E27" s="595"/>
      <c r="F27" s="595"/>
      <c r="G27" s="527">
        <f>ROUND((((1+G23+G21+G20)*(1+G22)*(1+G25))/(1-(G26+G24)))-1,4)</f>
        <v>0.14899999999999999</v>
      </c>
    </row>
  </sheetData>
  <mergeCells count="8">
    <mergeCell ref="A19:G19"/>
    <mergeCell ref="A27:F27"/>
    <mergeCell ref="A1:G1"/>
    <mergeCell ref="A3:G3"/>
    <mergeCell ref="A4:G4"/>
    <mergeCell ref="A5:G5"/>
    <mergeCell ref="A8:G8"/>
    <mergeCell ref="A16:F16"/>
  </mergeCells>
  <pageMargins left="0.51181102362204722" right="0.51181102362204722" top="1.1811023622047245" bottom="0.78740157480314965" header="0.31496062992125984" footer="0.31496062992125984"/>
  <pageSetup paperSize="9" scale="93" orientation="landscape" r:id="rId1"/>
  <headerFooter>
    <oddHeader>&amp;C&amp;G</oddHeader>
    <oddFooter>&amp;L&amp;G&amp;CPágina &amp;P de &amp;N&amp;R_______________________________
Lorena Araújo Silva
Eng. Civil CREA 1015611540D -GO</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332"/>
  <sheetViews>
    <sheetView tabSelected="1" topLeftCell="A2317" zoomScaleNormal="100" zoomScaleSheetLayoutView="80" zoomScalePageLayoutView="85" workbookViewId="0">
      <selection activeCell="D2324" sqref="D2324"/>
    </sheetView>
  </sheetViews>
  <sheetFormatPr defaultColWidth="9" defaultRowHeight="14.4"/>
  <cols>
    <col min="1" max="1" width="11.6640625" style="49" customWidth="1"/>
    <col min="2" max="2" width="15.88671875" style="2" customWidth="1"/>
    <col min="3" max="3" width="87.88671875" style="3" customWidth="1"/>
    <col min="4" max="4" width="24" customWidth="1"/>
    <col min="5" max="5" width="14.33203125" customWidth="1"/>
    <col min="255" max="255" width="11.33203125" customWidth="1"/>
    <col min="256" max="256" width="14.109375" customWidth="1"/>
    <col min="257" max="257" width="85.6640625" customWidth="1"/>
    <col min="258" max="258" width="7.5546875" customWidth="1"/>
    <col min="259" max="259" width="21.88671875" customWidth="1"/>
    <col min="261" max="261" width="10" customWidth="1"/>
    <col min="511" max="511" width="11.33203125" customWidth="1"/>
    <col min="512" max="512" width="14.109375" customWidth="1"/>
    <col min="513" max="513" width="85.6640625" customWidth="1"/>
    <col min="514" max="514" width="7.5546875" customWidth="1"/>
    <col min="515" max="515" width="21.88671875" customWidth="1"/>
    <col min="517" max="517" width="10" customWidth="1"/>
    <col min="767" max="767" width="11.33203125" customWidth="1"/>
    <col min="768" max="768" width="14.109375" customWidth="1"/>
    <col min="769" max="769" width="85.6640625" customWidth="1"/>
    <col min="770" max="770" width="7.5546875" customWidth="1"/>
    <col min="771" max="771" width="21.88671875" customWidth="1"/>
    <col min="773" max="773" width="10" customWidth="1"/>
    <col min="1023" max="1023" width="11.33203125" customWidth="1"/>
    <col min="1024" max="1024" width="14.109375" customWidth="1"/>
    <col min="1025" max="1025" width="85.6640625" customWidth="1"/>
    <col min="1026" max="1026" width="7.5546875" customWidth="1"/>
    <col min="1027" max="1027" width="21.88671875" customWidth="1"/>
    <col min="1029" max="1029" width="10" customWidth="1"/>
    <col min="1279" max="1279" width="11.33203125" customWidth="1"/>
    <col min="1280" max="1280" width="14.109375" customWidth="1"/>
    <col min="1281" max="1281" width="85.6640625" customWidth="1"/>
    <col min="1282" max="1282" width="7.5546875" customWidth="1"/>
    <col min="1283" max="1283" width="21.88671875" customWidth="1"/>
    <col min="1285" max="1285" width="10" customWidth="1"/>
    <col min="1535" max="1535" width="11.33203125" customWidth="1"/>
    <col min="1536" max="1536" width="14.109375" customWidth="1"/>
    <col min="1537" max="1537" width="85.6640625" customWidth="1"/>
    <col min="1538" max="1538" width="7.5546875" customWidth="1"/>
    <col min="1539" max="1539" width="21.88671875" customWidth="1"/>
    <col min="1541" max="1541" width="10" customWidth="1"/>
    <col min="1791" max="1791" width="11.33203125" customWidth="1"/>
    <col min="1792" max="1792" width="14.109375" customWidth="1"/>
    <col min="1793" max="1793" width="85.6640625" customWidth="1"/>
    <col min="1794" max="1794" width="7.5546875" customWidth="1"/>
    <col min="1795" max="1795" width="21.88671875" customWidth="1"/>
    <col min="1797" max="1797" width="10" customWidth="1"/>
    <col min="2047" max="2047" width="11.33203125" customWidth="1"/>
    <col min="2048" max="2048" width="14.109375" customWidth="1"/>
    <col min="2049" max="2049" width="85.6640625" customWidth="1"/>
    <col min="2050" max="2050" width="7.5546875" customWidth="1"/>
    <col min="2051" max="2051" width="21.88671875" customWidth="1"/>
    <col min="2053" max="2053" width="10" customWidth="1"/>
    <col min="2303" max="2303" width="11.33203125" customWidth="1"/>
    <col min="2304" max="2304" width="14.109375" customWidth="1"/>
    <col min="2305" max="2305" width="85.6640625" customWidth="1"/>
    <col min="2306" max="2306" width="7.5546875" customWidth="1"/>
    <col min="2307" max="2307" width="21.88671875" customWidth="1"/>
    <col min="2309" max="2309" width="10" customWidth="1"/>
    <col min="2559" max="2559" width="11.33203125" customWidth="1"/>
    <col min="2560" max="2560" width="14.109375" customWidth="1"/>
    <col min="2561" max="2561" width="85.6640625" customWidth="1"/>
    <col min="2562" max="2562" width="7.5546875" customWidth="1"/>
    <col min="2563" max="2563" width="21.88671875" customWidth="1"/>
    <col min="2565" max="2565" width="10" customWidth="1"/>
    <col min="2815" max="2815" width="11.33203125" customWidth="1"/>
    <col min="2816" max="2816" width="14.109375" customWidth="1"/>
    <col min="2817" max="2817" width="85.6640625" customWidth="1"/>
    <col min="2818" max="2818" width="7.5546875" customWidth="1"/>
    <col min="2819" max="2819" width="21.88671875" customWidth="1"/>
    <col min="2821" max="2821" width="10" customWidth="1"/>
    <col min="3071" max="3071" width="11.33203125" customWidth="1"/>
    <col min="3072" max="3072" width="14.109375" customWidth="1"/>
    <col min="3073" max="3073" width="85.6640625" customWidth="1"/>
    <col min="3074" max="3074" width="7.5546875" customWidth="1"/>
    <col min="3075" max="3075" width="21.88671875" customWidth="1"/>
    <col min="3077" max="3077" width="10" customWidth="1"/>
    <col min="3327" max="3327" width="11.33203125" customWidth="1"/>
    <col min="3328" max="3328" width="14.109375" customWidth="1"/>
    <col min="3329" max="3329" width="85.6640625" customWidth="1"/>
    <col min="3330" max="3330" width="7.5546875" customWidth="1"/>
    <col min="3331" max="3331" width="21.88671875" customWidth="1"/>
    <col min="3333" max="3333" width="10" customWidth="1"/>
    <col min="3583" max="3583" width="11.33203125" customWidth="1"/>
    <col min="3584" max="3584" width="14.109375" customWidth="1"/>
    <col min="3585" max="3585" width="85.6640625" customWidth="1"/>
    <col min="3586" max="3586" width="7.5546875" customWidth="1"/>
    <col min="3587" max="3587" width="21.88671875" customWidth="1"/>
    <col min="3589" max="3589" width="10" customWidth="1"/>
    <col min="3839" max="3839" width="11.33203125" customWidth="1"/>
    <col min="3840" max="3840" width="14.109375" customWidth="1"/>
    <col min="3841" max="3841" width="85.6640625" customWidth="1"/>
    <col min="3842" max="3842" width="7.5546875" customWidth="1"/>
    <col min="3843" max="3843" width="21.88671875" customWidth="1"/>
    <col min="3845" max="3845" width="10" customWidth="1"/>
    <col min="4095" max="4095" width="11.33203125" customWidth="1"/>
    <col min="4096" max="4096" width="14.109375" customWidth="1"/>
    <col min="4097" max="4097" width="85.6640625" customWidth="1"/>
    <col min="4098" max="4098" width="7.5546875" customWidth="1"/>
    <col min="4099" max="4099" width="21.88671875" customWidth="1"/>
    <col min="4101" max="4101" width="10" customWidth="1"/>
    <col min="4351" max="4351" width="11.33203125" customWidth="1"/>
    <col min="4352" max="4352" width="14.109375" customWidth="1"/>
    <col min="4353" max="4353" width="85.6640625" customWidth="1"/>
    <col min="4354" max="4354" width="7.5546875" customWidth="1"/>
    <col min="4355" max="4355" width="21.88671875" customWidth="1"/>
    <col min="4357" max="4357" width="10" customWidth="1"/>
    <col min="4607" max="4607" width="11.33203125" customWidth="1"/>
    <col min="4608" max="4608" width="14.109375" customWidth="1"/>
    <col min="4609" max="4609" width="85.6640625" customWidth="1"/>
    <col min="4610" max="4610" width="7.5546875" customWidth="1"/>
    <col min="4611" max="4611" width="21.88671875" customWidth="1"/>
    <col min="4613" max="4613" width="10" customWidth="1"/>
    <col min="4863" max="4863" width="11.33203125" customWidth="1"/>
    <col min="4864" max="4864" width="14.109375" customWidth="1"/>
    <col min="4865" max="4865" width="85.6640625" customWidth="1"/>
    <col min="4866" max="4866" width="7.5546875" customWidth="1"/>
    <col min="4867" max="4867" width="21.88671875" customWidth="1"/>
    <col min="4869" max="4869" width="10" customWidth="1"/>
    <col min="5119" max="5119" width="11.33203125" customWidth="1"/>
    <col min="5120" max="5120" width="14.109375" customWidth="1"/>
    <col min="5121" max="5121" width="85.6640625" customWidth="1"/>
    <col min="5122" max="5122" width="7.5546875" customWidth="1"/>
    <col min="5123" max="5123" width="21.88671875" customWidth="1"/>
    <col min="5125" max="5125" width="10" customWidth="1"/>
    <col min="5375" max="5375" width="11.33203125" customWidth="1"/>
    <col min="5376" max="5376" width="14.109375" customWidth="1"/>
    <col min="5377" max="5377" width="85.6640625" customWidth="1"/>
    <col min="5378" max="5378" width="7.5546875" customWidth="1"/>
    <col min="5379" max="5379" width="21.88671875" customWidth="1"/>
    <col min="5381" max="5381" width="10" customWidth="1"/>
    <col min="5631" max="5631" width="11.33203125" customWidth="1"/>
    <col min="5632" max="5632" width="14.109375" customWidth="1"/>
    <col min="5633" max="5633" width="85.6640625" customWidth="1"/>
    <col min="5634" max="5634" width="7.5546875" customWidth="1"/>
    <col min="5635" max="5635" width="21.88671875" customWidth="1"/>
    <col min="5637" max="5637" width="10" customWidth="1"/>
    <col min="5887" max="5887" width="11.33203125" customWidth="1"/>
    <col min="5888" max="5888" width="14.109375" customWidth="1"/>
    <col min="5889" max="5889" width="85.6640625" customWidth="1"/>
    <col min="5890" max="5890" width="7.5546875" customWidth="1"/>
    <col min="5891" max="5891" width="21.88671875" customWidth="1"/>
    <col min="5893" max="5893" width="10" customWidth="1"/>
    <col min="6143" max="6143" width="11.33203125" customWidth="1"/>
    <col min="6144" max="6144" width="14.109375" customWidth="1"/>
    <col min="6145" max="6145" width="85.6640625" customWidth="1"/>
    <col min="6146" max="6146" width="7.5546875" customWidth="1"/>
    <col min="6147" max="6147" width="21.88671875" customWidth="1"/>
    <col min="6149" max="6149" width="10" customWidth="1"/>
    <col min="6399" max="6399" width="11.33203125" customWidth="1"/>
    <col min="6400" max="6400" width="14.109375" customWidth="1"/>
    <col min="6401" max="6401" width="85.6640625" customWidth="1"/>
    <col min="6402" max="6402" width="7.5546875" customWidth="1"/>
    <col min="6403" max="6403" width="21.88671875" customWidth="1"/>
    <col min="6405" max="6405" width="10" customWidth="1"/>
    <col min="6655" max="6655" width="11.33203125" customWidth="1"/>
    <col min="6656" max="6656" width="14.109375" customWidth="1"/>
    <col min="6657" max="6657" width="85.6640625" customWidth="1"/>
    <col min="6658" max="6658" width="7.5546875" customWidth="1"/>
    <col min="6659" max="6659" width="21.88671875" customWidth="1"/>
    <col min="6661" max="6661" width="10" customWidth="1"/>
    <col min="6911" max="6911" width="11.33203125" customWidth="1"/>
    <col min="6912" max="6912" width="14.109375" customWidth="1"/>
    <col min="6913" max="6913" width="85.6640625" customWidth="1"/>
    <col min="6914" max="6914" width="7.5546875" customWidth="1"/>
    <col min="6915" max="6915" width="21.88671875" customWidth="1"/>
    <col min="6917" max="6917" width="10" customWidth="1"/>
    <col min="7167" max="7167" width="11.33203125" customWidth="1"/>
    <col min="7168" max="7168" width="14.109375" customWidth="1"/>
    <col min="7169" max="7169" width="85.6640625" customWidth="1"/>
    <col min="7170" max="7170" width="7.5546875" customWidth="1"/>
    <col min="7171" max="7171" width="21.88671875" customWidth="1"/>
    <col min="7173" max="7173" width="10" customWidth="1"/>
    <col min="7423" max="7423" width="11.33203125" customWidth="1"/>
    <col min="7424" max="7424" width="14.109375" customWidth="1"/>
    <col min="7425" max="7425" width="85.6640625" customWidth="1"/>
    <col min="7426" max="7426" width="7.5546875" customWidth="1"/>
    <col min="7427" max="7427" width="21.88671875" customWidth="1"/>
    <col min="7429" max="7429" width="10" customWidth="1"/>
    <col min="7679" max="7679" width="11.33203125" customWidth="1"/>
    <col min="7680" max="7680" width="14.109375" customWidth="1"/>
    <col min="7681" max="7681" width="85.6640625" customWidth="1"/>
    <col min="7682" max="7682" width="7.5546875" customWidth="1"/>
    <col min="7683" max="7683" width="21.88671875" customWidth="1"/>
    <col min="7685" max="7685" width="10" customWidth="1"/>
    <col min="7935" max="7935" width="11.33203125" customWidth="1"/>
    <col min="7936" max="7936" width="14.109375" customWidth="1"/>
    <col min="7937" max="7937" width="85.6640625" customWidth="1"/>
    <col min="7938" max="7938" width="7.5546875" customWidth="1"/>
    <col min="7939" max="7939" width="21.88671875" customWidth="1"/>
    <col min="7941" max="7941" width="10" customWidth="1"/>
    <col min="8191" max="8191" width="11.33203125" customWidth="1"/>
    <col min="8192" max="8192" width="14.109375" customWidth="1"/>
    <col min="8193" max="8193" width="85.6640625" customWidth="1"/>
    <col min="8194" max="8194" width="7.5546875" customWidth="1"/>
    <col min="8195" max="8195" width="21.88671875" customWidth="1"/>
    <col min="8197" max="8197" width="10" customWidth="1"/>
    <col min="8447" max="8447" width="11.33203125" customWidth="1"/>
    <col min="8448" max="8448" width="14.109375" customWidth="1"/>
    <col min="8449" max="8449" width="85.6640625" customWidth="1"/>
    <col min="8450" max="8450" width="7.5546875" customWidth="1"/>
    <col min="8451" max="8451" width="21.88671875" customWidth="1"/>
    <col min="8453" max="8453" width="10" customWidth="1"/>
    <col min="8703" max="8703" width="11.33203125" customWidth="1"/>
    <col min="8704" max="8704" width="14.109375" customWidth="1"/>
    <col min="8705" max="8705" width="85.6640625" customWidth="1"/>
    <col min="8706" max="8706" width="7.5546875" customWidth="1"/>
    <col min="8707" max="8707" width="21.88671875" customWidth="1"/>
    <col min="8709" max="8709" width="10" customWidth="1"/>
    <col min="8959" max="8959" width="11.33203125" customWidth="1"/>
    <col min="8960" max="8960" width="14.109375" customWidth="1"/>
    <col min="8961" max="8961" width="85.6640625" customWidth="1"/>
    <col min="8962" max="8962" width="7.5546875" customWidth="1"/>
    <col min="8963" max="8963" width="21.88671875" customWidth="1"/>
    <col min="8965" max="8965" width="10" customWidth="1"/>
    <col min="9215" max="9215" width="11.33203125" customWidth="1"/>
    <col min="9216" max="9216" width="14.109375" customWidth="1"/>
    <col min="9217" max="9217" width="85.6640625" customWidth="1"/>
    <col min="9218" max="9218" width="7.5546875" customWidth="1"/>
    <col min="9219" max="9219" width="21.88671875" customWidth="1"/>
    <col min="9221" max="9221" width="10" customWidth="1"/>
    <col min="9471" max="9471" width="11.33203125" customWidth="1"/>
    <col min="9472" max="9472" width="14.109375" customWidth="1"/>
    <col min="9473" max="9473" width="85.6640625" customWidth="1"/>
    <col min="9474" max="9474" width="7.5546875" customWidth="1"/>
    <col min="9475" max="9475" width="21.88671875" customWidth="1"/>
    <col min="9477" max="9477" width="10" customWidth="1"/>
    <col min="9727" max="9727" width="11.33203125" customWidth="1"/>
    <col min="9728" max="9728" width="14.109375" customWidth="1"/>
    <col min="9729" max="9729" width="85.6640625" customWidth="1"/>
    <col min="9730" max="9730" width="7.5546875" customWidth="1"/>
    <col min="9731" max="9731" width="21.88671875" customWidth="1"/>
    <col min="9733" max="9733" width="10" customWidth="1"/>
    <col min="9983" max="9983" width="11.33203125" customWidth="1"/>
    <col min="9984" max="9984" width="14.109375" customWidth="1"/>
    <col min="9985" max="9985" width="85.6640625" customWidth="1"/>
    <col min="9986" max="9986" width="7.5546875" customWidth="1"/>
    <col min="9987" max="9987" width="21.88671875" customWidth="1"/>
    <col min="9989" max="9989" width="10" customWidth="1"/>
    <col min="10239" max="10239" width="11.33203125" customWidth="1"/>
    <col min="10240" max="10240" width="14.109375" customWidth="1"/>
    <col min="10241" max="10241" width="85.6640625" customWidth="1"/>
    <col min="10242" max="10242" width="7.5546875" customWidth="1"/>
    <col min="10243" max="10243" width="21.88671875" customWidth="1"/>
    <col min="10245" max="10245" width="10" customWidth="1"/>
    <col min="10495" max="10495" width="11.33203125" customWidth="1"/>
    <col min="10496" max="10496" width="14.109375" customWidth="1"/>
    <col min="10497" max="10497" width="85.6640625" customWidth="1"/>
    <col min="10498" max="10498" width="7.5546875" customWidth="1"/>
    <col min="10499" max="10499" width="21.88671875" customWidth="1"/>
    <col min="10501" max="10501" width="10" customWidth="1"/>
    <col min="10751" max="10751" width="11.33203125" customWidth="1"/>
    <col min="10752" max="10752" width="14.109375" customWidth="1"/>
    <col min="10753" max="10753" width="85.6640625" customWidth="1"/>
    <col min="10754" max="10754" width="7.5546875" customWidth="1"/>
    <col min="10755" max="10755" width="21.88671875" customWidth="1"/>
    <col min="10757" max="10757" width="10" customWidth="1"/>
    <col min="11007" max="11007" width="11.33203125" customWidth="1"/>
    <col min="11008" max="11008" width="14.109375" customWidth="1"/>
    <col min="11009" max="11009" width="85.6640625" customWidth="1"/>
    <col min="11010" max="11010" width="7.5546875" customWidth="1"/>
    <col min="11011" max="11011" width="21.88671875" customWidth="1"/>
    <col min="11013" max="11013" width="10" customWidth="1"/>
    <col min="11263" max="11263" width="11.33203125" customWidth="1"/>
    <col min="11264" max="11264" width="14.109375" customWidth="1"/>
    <col min="11265" max="11265" width="85.6640625" customWidth="1"/>
    <col min="11266" max="11266" width="7.5546875" customWidth="1"/>
    <col min="11267" max="11267" width="21.88671875" customWidth="1"/>
    <col min="11269" max="11269" width="10" customWidth="1"/>
    <col min="11519" max="11519" width="11.33203125" customWidth="1"/>
    <col min="11520" max="11520" width="14.109375" customWidth="1"/>
    <col min="11521" max="11521" width="85.6640625" customWidth="1"/>
    <col min="11522" max="11522" width="7.5546875" customWidth="1"/>
    <col min="11523" max="11523" width="21.88671875" customWidth="1"/>
    <col min="11525" max="11525" width="10" customWidth="1"/>
    <col min="11775" max="11775" width="11.33203125" customWidth="1"/>
    <col min="11776" max="11776" width="14.109375" customWidth="1"/>
    <col min="11777" max="11777" width="85.6640625" customWidth="1"/>
    <col min="11778" max="11778" width="7.5546875" customWidth="1"/>
    <col min="11779" max="11779" width="21.88671875" customWidth="1"/>
    <col min="11781" max="11781" width="10" customWidth="1"/>
    <col min="12031" max="12031" width="11.33203125" customWidth="1"/>
    <col min="12032" max="12032" width="14.109375" customWidth="1"/>
    <col min="12033" max="12033" width="85.6640625" customWidth="1"/>
    <col min="12034" max="12034" width="7.5546875" customWidth="1"/>
    <col min="12035" max="12035" width="21.88671875" customWidth="1"/>
    <col min="12037" max="12037" width="10" customWidth="1"/>
    <col min="12287" max="12287" width="11.33203125" customWidth="1"/>
    <col min="12288" max="12288" width="14.109375" customWidth="1"/>
    <col min="12289" max="12289" width="85.6640625" customWidth="1"/>
    <col min="12290" max="12290" width="7.5546875" customWidth="1"/>
    <col min="12291" max="12291" width="21.88671875" customWidth="1"/>
    <col min="12293" max="12293" width="10" customWidth="1"/>
    <col min="12543" max="12543" width="11.33203125" customWidth="1"/>
    <col min="12544" max="12544" width="14.109375" customWidth="1"/>
    <col min="12545" max="12545" width="85.6640625" customWidth="1"/>
    <col min="12546" max="12546" width="7.5546875" customWidth="1"/>
    <col min="12547" max="12547" width="21.88671875" customWidth="1"/>
    <col min="12549" max="12549" width="10" customWidth="1"/>
    <col min="12799" max="12799" width="11.33203125" customWidth="1"/>
    <col min="12800" max="12800" width="14.109375" customWidth="1"/>
    <col min="12801" max="12801" width="85.6640625" customWidth="1"/>
    <col min="12802" max="12802" width="7.5546875" customWidth="1"/>
    <col min="12803" max="12803" width="21.88671875" customWidth="1"/>
    <col min="12805" max="12805" width="10" customWidth="1"/>
    <col min="13055" max="13055" width="11.33203125" customWidth="1"/>
    <col min="13056" max="13056" width="14.109375" customWidth="1"/>
    <col min="13057" max="13057" width="85.6640625" customWidth="1"/>
    <col min="13058" max="13058" width="7.5546875" customWidth="1"/>
    <col min="13059" max="13059" width="21.88671875" customWidth="1"/>
    <col min="13061" max="13061" width="10" customWidth="1"/>
    <col min="13311" max="13311" width="11.33203125" customWidth="1"/>
    <col min="13312" max="13312" width="14.109375" customWidth="1"/>
    <col min="13313" max="13313" width="85.6640625" customWidth="1"/>
    <col min="13314" max="13314" width="7.5546875" customWidth="1"/>
    <col min="13315" max="13315" width="21.88671875" customWidth="1"/>
    <col min="13317" max="13317" width="10" customWidth="1"/>
    <col min="13567" max="13567" width="11.33203125" customWidth="1"/>
    <col min="13568" max="13568" width="14.109375" customWidth="1"/>
    <col min="13569" max="13569" width="85.6640625" customWidth="1"/>
    <col min="13570" max="13570" width="7.5546875" customWidth="1"/>
    <col min="13571" max="13571" width="21.88671875" customWidth="1"/>
    <col min="13573" max="13573" width="10" customWidth="1"/>
    <col min="13823" max="13823" width="11.33203125" customWidth="1"/>
    <col min="13824" max="13824" width="14.109375" customWidth="1"/>
    <col min="13825" max="13825" width="85.6640625" customWidth="1"/>
    <col min="13826" max="13826" width="7.5546875" customWidth="1"/>
    <col min="13827" max="13827" width="21.88671875" customWidth="1"/>
    <col min="13829" max="13829" width="10" customWidth="1"/>
    <col min="14079" max="14079" width="11.33203125" customWidth="1"/>
    <col min="14080" max="14080" width="14.109375" customWidth="1"/>
    <col min="14081" max="14081" width="85.6640625" customWidth="1"/>
    <col min="14082" max="14082" width="7.5546875" customWidth="1"/>
    <col min="14083" max="14083" width="21.88671875" customWidth="1"/>
    <col min="14085" max="14085" width="10" customWidth="1"/>
    <col min="14335" max="14335" width="11.33203125" customWidth="1"/>
    <col min="14336" max="14336" width="14.109375" customWidth="1"/>
    <col min="14337" max="14337" width="85.6640625" customWidth="1"/>
    <col min="14338" max="14338" width="7.5546875" customWidth="1"/>
    <col min="14339" max="14339" width="21.88671875" customWidth="1"/>
    <col min="14341" max="14341" width="10" customWidth="1"/>
    <col min="14591" max="14591" width="11.33203125" customWidth="1"/>
    <col min="14592" max="14592" width="14.109375" customWidth="1"/>
    <col min="14593" max="14593" width="85.6640625" customWidth="1"/>
    <col min="14594" max="14594" width="7.5546875" customWidth="1"/>
    <col min="14595" max="14595" width="21.88671875" customWidth="1"/>
    <col min="14597" max="14597" width="10" customWidth="1"/>
    <col min="14847" max="14847" width="11.33203125" customWidth="1"/>
    <col min="14848" max="14848" width="14.109375" customWidth="1"/>
    <col min="14849" max="14849" width="85.6640625" customWidth="1"/>
    <col min="14850" max="14850" width="7.5546875" customWidth="1"/>
    <col min="14851" max="14851" width="21.88671875" customWidth="1"/>
    <col min="14853" max="14853" width="10" customWidth="1"/>
    <col min="15103" max="15103" width="11.33203125" customWidth="1"/>
    <col min="15104" max="15104" width="14.109375" customWidth="1"/>
    <col min="15105" max="15105" width="85.6640625" customWidth="1"/>
    <col min="15106" max="15106" width="7.5546875" customWidth="1"/>
    <col min="15107" max="15107" width="21.88671875" customWidth="1"/>
    <col min="15109" max="15109" width="10" customWidth="1"/>
    <col min="15359" max="15359" width="11.33203125" customWidth="1"/>
    <col min="15360" max="15360" width="14.109375" customWidth="1"/>
    <col min="15361" max="15361" width="85.6640625" customWidth="1"/>
    <col min="15362" max="15362" width="7.5546875" customWidth="1"/>
    <col min="15363" max="15363" width="21.88671875" customWidth="1"/>
    <col min="15365" max="15365" width="10" customWidth="1"/>
    <col min="15615" max="15615" width="11.33203125" customWidth="1"/>
    <col min="15616" max="15616" width="14.109375" customWidth="1"/>
    <col min="15617" max="15617" width="85.6640625" customWidth="1"/>
    <col min="15618" max="15618" width="7.5546875" customWidth="1"/>
    <col min="15619" max="15619" width="21.88671875" customWidth="1"/>
    <col min="15621" max="15621" width="10" customWidth="1"/>
    <col min="15871" max="15871" width="11.33203125" customWidth="1"/>
    <col min="15872" max="15872" width="14.109375" customWidth="1"/>
    <col min="15873" max="15873" width="85.6640625" customWidth="1"/>
    <col min="15874" max="15874" width="7.5546875" customWidth="1"/>
    <col min="15875" max="15875" width="21.88671875" customWidth="1"/>
    <col min="15877" max="15877" width="10" customWidth="1"/>
    <col min="16127" max="16127" width="11.33203125" customWidth="1"/>
    <col min="16128" max="16128" width="14.109375" customWidth="1"/>
    <col min="16129" max="16129" width="85.6640625" customWidth="1"/>
    <col min="16130" max="16130" width="7.5546875" customWidth="1"/>
    <col min="16131" max="16131" width="21.88671875" customWidth="1"/>
    <col min="16133" max="16133" width="10" customWidth="1"/>
  </cols>
  <sheetData>
    <row r="1" spans="1:4" ht="16.2" customHeight="1" thickBot="1">
      <c r="A1" s="684" t="s">
        <v>2012</v>
      </c>
      <c r="B1" s="618"/>
      <c r="C1" s="598"/>
    </row>
    <row r="2" spans="1:4" s="1" customFormat="1" ht="16.2" thickBot="1">
      <c r="A2" s="353"/>
      <c r="B2" s="354"/>
      <c r="C2" s="355"/>
    </row>
    <row r="3" spans="1:4" s="18" customFormat="1" ht="35.4" customHeight="1">
      <c r="A3" s="682" t="s">
        <v>1</v>
      </c>
      <c r="B3" s="537" t="s">
        <v>3976</v>
      </c>
      <c r="C3" s="679"/>
      <c r="D3" s="163"/>
    </row>
    <row r="4" spans="1:4" s="18" customFormat="1" ht="13.95" customHeight="1">
      <c r="A4" s="356" t="s">
        <v>2</v>
      </c>
      <c r="B4" s="680" t="s">
        <v>3163</v>
      </c>
      <c r="C4" s="540"/>
      <c r="D4" s="163"/>
    </row>
    <row r="5" spans="1:4" s="18" customFormat="1" thickBot="1">
      <c r="A5" s="683" t="s">
        <v>3</v>
      </c>
      <c r="B5" s="541">
        <v>45119</v>
      </c>
      <c r="C5" s="681"/>
      <c r="D5" s="163"/>
    </row>
    <row r="6" spans="1:4" s="1" customFormat="1" ht="96.6" customHeight="1">
      <c r="A6" s="673" t="s">
        <v>4002</v>
      </c>
      <c r="B6" s="619"/>
      <c r="C6" s="674"/>
    </row>
    <row r="7" spans="1:4" s="1" customFormat="1" ht="144.6" customHeight="1">
      <c r="A7" s="613" t="s">
        <v>4972</v>
      </c>
      <c r="B7" s="675"/>
      <c r="C7" s="614"/>
    </row>
    <row r="8" spans="1:4" s="1" customFormat="1" ht="195.75" customHeight="1">
      <c r="A8" s="615" t="s">
        <v>4003</v>
      </c>
      <c r="B8" s="676"/>
      <c r="C8" s="616"/>
    </row>
    <row r="9" spans="1:4" s="1" customFormat="1" ht="197.25" customHeight="1">
      <c r="A9" s="615" t="s">
        <v>4973</v>
      </c>
      <c r="B9" s="676"/>
      <c r="C9" s="616"/>
    </row>
    <row r="10" spans="1:4" s="1" customFormat="1" ht="61.5" customHeight="1" thickBot="1">
      <c r="A10" s="677" t="s">
        <v>4004</v>
      </c>
      <c r="B10" s="617"/>
      <c r="C10" s="678"/>
    </row>
    <row r="11" spans="1:4" ht="15.6">
      <c r="A11" s="634" t="s">
        <v>4</v>
      </c>
      <c r="B11" s="635" t="s">
        <v>5</v>
      </c>
      <c r="C11" s="636" t="s">
        <v>2013</v>
      </c>
    </row>
    <row r="12" spans="1:4" ht="15.6">
      <c r="A12" s="637">
        <v>1</v>
      </c>
      <c r="B12" s="638">
        <v>20000</v>
      </c>
      <c r="C12" s="639" t="s">
        <v>9</v>
      </c>
    </row>
    <row r="13" spans="1:4" ht="15.6" hidden="1" customHeight="1" thickBot="1">
      <c r="A13" s="640" t="str">
        <f>IF('[2]Memória de Cálculo'!A9&gt;0,'[2]Memória de Cálculo'!A9,"")</f>
        <v/>
      </c>
      <c r="B13" s="641">
        <v>20100</v>
      </c>
      <c r="C13" s="642" t="s">
        <v>2014</v>
      </c>
    </row>
    <row r="14" spans="1:4" ht="15.6" hidden="1" customHeight="1">
      <c r="A14" s="640" t="str">
        <f>IF('[2]Memória de Cálculo'!A10&gt;0,'[2]Memória de Cálculo'!A10,"")</f>
        <v/>
      </c>
      <c r="B14" s="641">
        <v>20101</v>
      </c>
      <c r="C14" s="642" t="s">
        <v>2015</v>
      </c>
    </row>
    <row r="15" spans="1:4" ht="26.4">
      <c r="A15" s="640" t="str">
        <f>IF('[2]Memória de Cálculo'!A11&gt;0,'[2]Memória de Cálculo'!A11,"")</f>
        <v>1.1</v>
      </c>
      <c r="B15" s="641">
        <v>20102</v>
      </c>
      <c r="C15" s="642" t="s">
        <v>14</v>
      </c>
    </row>
    <row r="16" spans="1:4">
      <c r="A16" s="640" t="s">
        <v>3568</v>
      </c>
      <c r="B16" s="641">
        <v>20103</v>
      </c>
      <c r="C16" s="642" t="s">
        <v>2016</v>
      </c>
    </row>
    <row r="17" spans="1:3" ht="96" customHeight="1">
      <c r="A17" s="640"/>
      <c r="B17" s="641"/>
      <c r="C17" s="642" t="s">
        <v>4005</v>
      </c>
    </row>
    <row r="18" spans="1:3" ht="15.6" hidden="1" customHeight="1">
      <c r="A18" s="640" t="str">
        <f>IF('[2]Memória de Cálculo'!A19&gt;0,'[2]Memória de Cálculo'!A19,"")</f>
        <v/>
      </c>
      <c r="B18" s="641">
        <v>20104</v>
      </c>
      <c r="C18" s="642" t="s">
        <v>2017</v>
      </c>
    </row>
    <row r="19" spans="1:3" ht="15.6" hidden="1" customHeight="1">
      <c r="A19" s="640" t="str">
        <f>IF('[2]Memória de Cálculo'!A20&gt;0,'[2]Memória de Cálculo'!A20,"")</f>
        <v/>
      </c>
      <c r="B19" s="641">
        <v>20105</v>
      </c>
      <c r="C19" s="642" t="s">
        <v>2018</v>
      </c>
    </row>
    <row r="20" spans="1:3">
      <c r="A20" s="643"/>
      <c r="B20" s="643"/>
      <c r="C20" s="643"/>
    </row>
    <row r="21" spans="1:3">
      <c r="A21" s="640" t="s">
        <v>3569</v>
      </c>
      <c r="B21" s="641">
        <v>20106</v>
      </c>
      <c r="C21" s="642" t="s">
        <v>2019</v>
      </c>
    </row>
    <row r="22" spans="1:3" ht="66">
      <c r="A22" s="640"/>
      <c r="B22" s="641"/>
      <c r="C22" s="642" t="s">
        <v>4006</v>
      </c>
    </row>
    <row r="23" spans="1:3" ht="26.4" hidden="1" customHeight="1">
      <c r="A23" s="640" t="str">
        <f>IF('[2]Memória de Cálculo'!A59&gt;0,'[2]Memória de Cálculo'!A59,"")</f>
        <v/>
      </c>
      <c r="B23" s="641">
        <v>20107</v>
      </c>
      <c r="C23" s="642" t="s">
        <v>2020</v>
      </c>
    </row>
    <row r="24" spans="1:3" ht="15.6" hidden="1" customHeight="1">
      <c r="A24" s="640" t="str">
        <f>IF('[2]Memória de Cálculo'!A60&gt;0,'[2]Memória de Cálculo'!A60,"")</f>
        <v/>
      </c>
      <c r="B24" s="641">
        <v>20108</v>
      </c>
      <c r="C24" s="642" t="s">
        <v>2021</v>
      </c>
    </row>
    <row r="25" spans="1:3" ht="15.6" hidden="1" customHeight="1">
      <c r="A25" s="640" t="str">
        <f>IF('[2]Memória de Cálculo'!A61&gt;0,'[2]Memória de Cálculo'!A61,"")</f>
        <v/>
      </c>
      <c r="B25" s="641">
        <v>20109</v>
      </c>
      <c r="C25" s="642" t="s">
        <v>2022</v>
      </c>
    </row>
    <row r="26" spans="1:3" ht="15.6" hidden="1" customHeight="1">
      <c r="A26" s="640" t="str">
        <f>IF('[2]Memória de Cálculo'!A62&gt;0,'[2]Memória de Cálculo'!A62,"")</f>
        <v/>
      </c>
      <c r="B26" s="641">
        <v>20110</v>
      </c>
      <c r="C26" s="642" t="s">
        <v>2023</v>
      </c>
    </row>
    <row r="27" spans="1:3" ht="15.6" hidden="1" customHeight="1">
      <c r="A27" s="640" t="str">
        <f>IF('[2]Memória de Cálculo'!A63&gt;0,'[2]Memória de Cálculo'!A63,"")</f>
        <v/>
      </c>
      <c r="B27" s="641">
        <v>20111</v>
      </c>
      <c r="C27" s="642" t="s">
        <v>2024</v>
      </c>
    </row>
    <row r="28" spans="1:3" ht="26.4" hidden="1" customHeight="1">
      <c r="A28" s="640" t="str">
        <f>IF('[2]Memória de Cálculo'!A64&gt;0,'[2]Memória de Cálculo'!A64,"")</f>
        <v/>
      </c>
      <c r="B28" s="641">
        <v>20112</v>
      </c>
      <c r="C28" s="642" t="s">
        <v>2025</v>
      </c>
    </row>
    <row r="29" spans="1:3" ht="15.6" hidden="1" customHeight="1">
      <c r="A29" s="640" t="str">
        <f>IF('[2]Memória de Cálculo'!A65&gt;0,'[2]Memória de Cálculo'!A65,"")</f>
        <v/>
      </c>
      <c r="B29" s="641">
        <v>20113</v>
      </c>
      <c r="C29" s="642" t="s">
        <v>2026</v>
      </c>
    </row>
    <row r="30" spans="1:3" ht="15.6" hidden="1" customHeight="1">
      <c r="A30" s="640" t="str">
        <f>IF('[2]Memória de Cálculo'!A66&gt;0,'[2]Memória de Cálculo'!A66,"")</f>
        <v/>
      </c>
      <c r="B30" s="641">
        <v>20115</v>
      </c>
      <c r="C30" s="642" t="s">
        <v>2027</v>
      </c>
    </row>
    <row r="31" spans="1:3" ht="15.6" hidden="1" customHeight="1">
      <c r="A31" s="640" t="str">
        <f>IF('[2]Memória de Cálculo'!A67&gt;0,'[2]Memória de Cálculo'!A67,"")</f>
        <v/>
      </c>
      <c r="B31" s="641">
        <v>20116</v>
      </c>
      <c r="C31" s="642" t="s">
        <v>27</v>
      </c>
    </row>
    <row r="32" spans="1:3">
      <c r="A32" s="643"/>
      <c r="B32" s="643"/>
      <c r="C32" s="643"/>
    </row>
    <row r="33" spans="1:3">
      <c r="A33" s="640" t="str">
        <f>IF('[2]Memória de Cálculo'!A68&gt;0,'[2]Memória de Cálculo'!A68,"")</f>
        <v>1.4</v>
      </c>
      <c r="B33" s="641">
        <v>20117</v>
      </c>
      <c r="C33" s="642" t="s">
        <v>2028</v>
      </c>
    </row>
    <row r="34" spans="1:3" ht="52.8">
      <c r="A34" s="640"/>
      <c r="B34" s="641"/>
      <c r="C34" s="642" t="s">
        <v>4007</v>
      </c>
    </row>
    <row r="35" spans="1:3">
      <c r="A35" s="643"/>
      <c r="B35" s="643"/>
      <c r="C35" s="643"/>
    </row>
    <row r="36" spans="1:3">
      <c r="A36" s="640" t="str">
        <f>IF('[2]Memória de Cálculo'!A71&gt;0,'[2]Memória de Cálculo'!A71,"")</f>
        <v>1.5</v>
      </c>
      <c r="B36" s="641">
        <v>20118</v>
      </c>
      <c r="C36" s="642" t="s">
        <v>2029</v>
      </c>
    </row>
    <row r="37" spans="1:3" ht="79.2">
      <c r="A37" s="640"/>
      <c r="B37" s="641"/>
      <c r="C37" s="642" t="s">
        <v>4008</v>
      </c>
    </row>
    <row r="38" spans="1:3">
      <c r="A38" s="643"/>
      <c r="B38" s="643"/>
      <c r="C38" s="643"/>
    </row>
    <row r="39" spans="1:3" ht="15.6" hidden="1" customHeight="1">
      <c r="A39" s="640" t="str">
        <f>IF('[2]Memória de Cálculo'!A103&gt;0,'[2]Memória de Cálculo'!A103,"")</f>
        <v/>
      </c>
      <c r="B39" s="641">
        <v>20119</v>
      </c>
      <c r="C39" s="642" t="s">
        <v>2030</v>
      </c>
    </row>
    <row r="40" spans="1:3">
      <c r="A40" s="640" t="str">
        <f>IF('[2]Memória de Cálculo'!A104&gt;0,'[2]Memória de Cálculo'!A104,"")</f>
        <v>1.6</v>
      </c>
      <c r="B40" s="641">
        <v>20121</v>
      </c>
      <c r="C40" s="642" t="s">
        <v>2031</v>
      </c>
    </row>
    <row r="41" spans="1:3" ht="97.95" customHeight="1">
      <c r="A41" s="640"/>
      <c r="B41" s="641"/>
      <c r="C41" s="642" t="s">
        <v>4009</v>
      </c>
    </row>
    <row r="42" spans="1:3">
      <c r="A42" s="643"/>
      <c r="B42" s="643"/>
      <c r="C42" s="643"/>
    </row>
    <row r="43" spans="1:3">
      <c r="A43" s="640" t="s">
        <v>3573</v>
      </c>
      <c r="B43" s="641">
        <v>20125</v>
      </c>
      <c r="C43" s="642" t="s">
        <v>2032</v>
      </c>
    </row>
    <row r="44" spans="1:3" ht="66">
      <c r="A44" s="640"/>
      <c r="B44" s="641"/>
      <c r="C44" s="642" t="s">
        <v>4010</v>
      </c>
    </row>
    <row r="45" spans="1:3">
      <c r="A45" s="643"/>
      <c r="B45" s="643"/>
      <c r="C45" s="643"/>
    </row>
    <row r="46" spans="1:3" ht="15.6" hidden="1" customHeight="1">
      <c r="A46" s="640" t="str">
        <f>IF('[2]Memória de Cálculo'!A129&gt;0,'[2]Memória de Cálculo'!A129,"")</f>
        <v/>
      </c>
      <c r="B46" s="641">
        <v>20126</v>
      </c>
      <c r="C46" s="642" t="s">
        <v>2033</v>
      </c>
    </row>
    <row r="47" spans="1:3" ht="15.6" hidden="1" customHeight="1">
      <c r="A47" s="640" t="str">
        <f>IF('[2]Memória de Cálculo'!A130&gt;0,'[2]Memória de Cálculo'!A130,"")</f>
        <v/>
      </c>
      <c r="B47" s="641">
        <v>20127</v>
      </c>
      <c r="C47" s="642" t="s">
        <v>2034</v>
      </c>
    </row>
    <row r="48" spans="1:3" ht="15.6" hidden="1" customHeight="1">
      <c r="A48" s="640" t="str">
        <f>IF('[2]Memória de Cálculo'!A131&gt;0,'[2]Memória de Cálculo'!A131,"")</f>
        <v>1.8</v>
      </c>
      <c r="B48" s="641">
        <v>20128</v>
      </c>
      <c r="C48" s="642" t="s">
        <v>2035</v>
      </c>
    </row>
    <row r="49" spans="1:3">
      <c r="A49" s="640" t="s">
        <v>3574</v>
      </c>
      <c r="B49" s="641">
        <v>20129</v>
      </c>
      <c r="C49" s="642" t="s">
        <v>2036</v>
      </c>
    </row>
    <row r="50" spans="1:3" ht="52.8">
      <c r="A50" s="640"/>
      <c r="B50" s="641"/>
      <c r="C50" s="642" t="s">
        <v>4011</v>
      </c>
    </row>
    <row r="51" spans="1:3">
      <c r="A51" s="643"/>
      <c r="B51" s="643"/>
      <c r="C51" s="643"/>
    </row>
    <row r="52" spans="1:3" ht="26.4" hidden="1" customHeight="1">
      <c r="A52" s="640" t="str">
        <f>IF('[2]Memória de Cálculo'!A135&gt;0,'[2]Memória de Cálculo'!A135,"")</f>
        <v/>
      </c>
      <c r="B52" s="641">
        <v>20130</v>
      </c>
      <c r="C52" s="642" t="s">
        <v>2037</v>
      </c>
    </row>
    <row r="53" spans="1:3" ht="15.6" hidden="1" customHeight="1">
      <c r="A53" s="640" t="str">
        <f>IF('[2]Memória de Cálculo'!A136&gt;0,'[2]Memória de Cálculo'!A136,"")</f>
        <v/>
      </c>
      <c r="B53" s="641">
        <v>20131</v>
      </c>
      <c r="C53" s="642" t="s">
        <v>2038</v>
      </c>
    </row>
    <row r="54" spans="1:3" ht="15.6" hidden="1" customHeight="1">
      <c r="A54" s="640" t="str">
        <f>IF('[2]Memória de Cálculo'!A137&gt;0,'[2]Memória de Cálculo'!A137,"")</f>
        <v/>
      </c>
      <c r="B54" s="641">
        <v>20132</v>
      </c>
      <c r="C54" s="642" t="s">
        <v>2039</v>
      </c>
    </row>
    <row r="55" spans="1:3" ht="15.6" hidden="1" customHeight="1">
      <c r="A55" s="640" t="str">
        <f>IF('[2]Memória de Cálculo'!A138&gt;0,'[2]Memória de Cálculo'!A138,"")</f>
        <v/>
      </c>
      <c r="B55" s="641">
        <v>20133</v>
      </c>
      <c r="C55" s="642" t="s">
        <v>2040</v>
      </c>
    </row>
    <row r="56" spans="1:3" ht="15.6" hidden="1" customHeight="1">
      <c r="A56" s="640" t="str">
        <f>IF('[2]Memória de Cálculo'!A139&gt;0,'[2]Memória de Cálculo'!A139,"")</f>
        <v/>
      </c>
      <c r="B56" s="641">
        <v>20134</v>
      </c>
      <c r="C56" s="642" t="s">
        <v>2041</v>
      </c>
    </row>
    <row r="57" spans="1:3" ht="15.6" hidden="1" customHeight="1">
      <c r="A57" s="640" t="str">
        <f>IF('[2]Memória de Cálculo'!A140&gt;0,'[2]Memória de Cálculo'!A140,"")</f>
        <v/>
      </c>
      <c r="B57" s="641">
        <v>20135</v>
      </c>
      <c r="C57" s="642" t="s">
        <v>2042</v>
      </c>
    </row>
    <row r="58" spans="1:3" ht="15.6" hidden="1" customHeight="1">
      <c r="A58" s="640" t="str">
        <f>IF('[2]Memória de Cálculo'!A141&gt;0,'[2]Memória de Cálculo'!A141,"")</f>
        <v/>
      </c>
      <c r="B58" s="641">
        <v>20136</v>
      </c>
      <c r="C58" s="642" t="s">
        <v>2043</v>
      </c>
    </row>
    <row r="59" spans="1:3" ht="15.6" hidden="1" customHeight="1">
      <c r="A59" s="640" t="str">
        <f>IF('[2]Memória de Cálculo'!A144&gt;0,'[2]Memória de Cálculo'!A144,"")</f>
        <v/>
      </c>
      <c r="B59" s="641">
        <v>20137</v>
      </c>
      <c r="C59" s="642" t="s">
        <v>2044</v>
      </c>
    </row>
    <row r="60" spans="1:3" ht="15.6" hidden="1" customHeight="1">
      <c r="A60" s="640" t="str">
        <f>IF('[2]Memória de Cálculo'!A145&gt;0,'[2]Memória de Cálculo'!A145,"")</f>
        <v>1.9</v>
      </c>
      <c r="B60" s="641">
        <v>20138</v>
      </c>
      <c r="C60" s="642" t="s">
        <v>2045</v>
      </c>
    </row>
    <row r="61" spans="1:3">
      <c r="A61" s="640" t="s">
        <v>3575</v>
      </c>
      <c r="B61" s="641">
        <v>20139</v>
      </c>
      <c r="C61" s="642" t="s">
        <v>2046</v>
      </c>
    </row>
    <row r="62" spans="1:3" ht="64.2" customHeight="1">
      <c r="A62" s="640"/>
      <c r="B62" s="641"/>
      <c r="C62" s="642" t="s">
        <v>4012</v>
      </c>
    </row>
    <row r="63" spans="1:3">
      <c r="A63" s="643"/>
      <c r="B63" s="643"/>
      <c r="C63" s="643"/>
    </row>
    <row r="64" spans="1:3" ht="26.4">
      <c r="A64" s="640" t="s">
        <v>3576</v>
      </c>
      <c r="B64" s="641">
        <v>20140</v>
      </c>
      <c r="C64" s="642" t="s">
        <v>2047</v>
      </c>
    </row>
    <row r="65" spans="1:3" ht="66">
      <c r="A65" s="640"/>
      <c r="B65" s="641"/>
      <c r="C65" s="642" t="s">
        <v>4013</v>
      </c>
    </row>
    <row r="66" spans="1:3" ht="15.6" hidden="1" customHeight="1">
      <c r="A66" s="640" t="str">
        <f>IF('[2]Memória de Cálculo'!A201&gt;0,'[2]Memória de Cálculo'!A201,"")</f>
        <v/>
      </c>
      <c r="B66" s="641">
        <v>20141</v>
      </c>
      <c r="C66" s="642" t="s">
        <v>2048</v>
      </c>
    </row>
    <row r="67" spans="1:3" ht="15.6" hidden="1" customHeight="1">
      <c r="A67" s="640" t="str">
        <f>IF('[2]Memória de Cálculo'!A202&gt;0,'[2]Memória de Cálculo'!A202,"")</f>
        <v/>
      </c>
      <c r="B67" s="641">
        <v>20142</v>
      </c>
      <c r="C67" s="642" t="s">
        <v>50</v>
      </c>
    </row>
    <row r="68" spans="1:3" ht="15.6" hidden="1" customHeight="1">
      <c r="A68" s="640" t="str">
        <f>IF('[2]Memória de Cálculo'!A203&gt;0,'[2]Memória de Cálculo'!A203,"")</f>
        <v/>
      </c>
      <c r="B68" s="641">
        <v>20143</v>
      </c>
      <c r="C68" s="642" t="s">
        <v>2049</v>
      </c>
    </row>
    <row r="69" spans="1:3" ht="15.6" hidden="1" customHeight="1">
      <c r="A69" s="640" t="str">
        <f>IF('[2]Memória de Cálculo'!A204&gt;0,'[2]Memória de Cálculo'!A204,"")</f>
        <v/>
      </c>
      <c r="B69" s="641">
        <v>20144</v>
      </c>
      <c r="C69" s="642" t="s">
        <v>2050</v>
      </c>
    </row>
    <row r="70" spans="1:3" ht="15.6" hidden="1" customHeight="1">
      <c r="A70" s="640" t="str">
        <f>IF('[2]Memória de Cálculo'!A205&gt;0,'[2]Memória de Cálculo'!A205,"")</f>
        <v/>
      </c>
      <c r="B70" s="641">
        <v>20145</v>
      </c>
      <c r="C70" s="642" t="s">
        <v>2051</v>
      </c>
    </row>
    <row r="71" spans="1:3">
      <c r="A71" s="643"/>
      <c r="B71" s="643"/>
      <c r="C71" s="643"/>
    </row>
    <row r="72" spans="1:3" ht="15.6" hidden="1" customHeight="1">
      <c r="A72" s="640" t="str">
        <f>IF('[2]Memória de Cálculo'!A206&gt;0,'[2]Memória de Cálculo'!A206,"")</f>
        <v>1.11</v>
      </c>
      <c r="B72" s="641">
        <v>20146</v>
      </c>
      <c r="C72" s="642" t="s">
        <v>2052</v>
      </c>
    </row>
    <row r="73" spans="1:3" ht="26.4">
      <c r="A73" s="640" t="s">
        <v>3577</v>
      </c>
      <c r="B73" s="641">
        <v>20147</v>
      </c>
      <c r="C73" s="642" t="s">
        <v>2053</v>
      </c>
    </row>
    <row r="74" spans="1:3" ht="15.6" hidden="1" customHeight="1">
      <c r="A74" s="640" t="str">
        <f>IF('[2]Memória de Cálculo'!A231&gt;0,'[2]Memória de Cálculo'!A231,"")</f>
        <v/>
      </c>
      <c r="B74" s="641">
        <v>20148</v>
      </c>
      <c r="C74" s="642" t="s">
        <v>56</v>
      </c>
    </row>
    <row r="75" spans="1:3" ht="15.6" hidden="1" customHeight="1">
      <c r="A75" s="640" t="str">
        <f>IF('[2]Memória de Cálculo'!A232&gt;0,'[2]Memória de Cálculo'!A232,"")</f>
        <v/>
      </c>
      <c r="B75" s="641">
        <v>20149</v>
      </c>
      <c r="C75" s="642" t="s">
        <v>2054</v>
      </c>
    </row>
    <row r="76" spans="1:3" ht="15.6" hidden="1" customHeight="1">
      <c r="A76" s="640" t="str">
        <f>IF('[2]Memória de Cálculo'!A233&gt;0,'[2]Memória de Cálculo'!A233,"")</f>
        <v/>
      </c>
      <c r="B76" s="641">
        <v>20151</v>
      </c>
      <c r="C76" s="642" t="s">
        <v>2055</v>
      </c>
    </row>
    <row r="77" spans="1:3" ht="52.8">
      <c r="A77" s="640"/>
      <c r="B77" s="641"/>
      <c r="C77" s="642" t="s">
        <v>4014</v>
      </c>
    </row>
    <row r="78" spans="1:3">
      <c r="A78" s="643"/>
      <c r="B78" s="643"/>
      <c r="C78" s="643"/>
    </row>
    <row r="79" spans="1:3" ht="15.6" hidden="1" customHeight="1">
      <c r="A79" s="640" t="str">
        <f>IF('[2]Memória de Cálculo'!A234&gt;0,'[2]Memória de Cálculo'!A234,"")</f>
        <v>1.12</v>
      </c>
      <c r="B79" s="641">
        <v>20155</v>
      </c>
      <c r="C79" s="642" t="s">
        <v>2056</v>
      </c>
    </row>
    <row r="80" spans="1:3" ht="15.6" hidden="1" customHeight="1">
      <c r="A80" s="640"/>
      <c r="B80" s="641"/>
      <c r="C80" s="642"/>
    </row>
    <row r="81" spans="1:3">
      <c r="A81" s="640" t="s">
        <v>3578</v>
      </c>
      <c r="B81" s="641">
        <v>20157</v>
      </c>
      <c r="C81" s="642" t="s">
        <v>2057</v>
      </c>
    </row>
    <row r="82" spans="1:3" ht="39.6">
      <c r="A82" s="640"/>
      <c r="B82" s="641"/>
      <c r="C82" s="642" t="s">
        <v>4015</v>
      </c>
    </row>
    <row r="83" spans="1:3">
      <c r="A83" s="643"/>
      <c r="B83" s="643"/>
      <c r="C83" s="643"/>
    </row>
    <row r="84" spans="1:3" ht="15.6" hidden="1" customHeight="1">
      <c r="A84" s="640" t="str">
        <f>IF('[2]Memória de Cálculo'!A244&gt;0,'[2]Memória de Cálculo'!A244,"")</f>
        <v>1.13</v>
      </c>
      <c r="B84" s="641">
        <v>20160</v>
      </c>
      <c r="C84" s="642" t="s">
        <v>2058</v>
      </c>
    </row>
    <row r="85" spans="1:3" s="1" customFormat="1" ht="26.4">
      <c r="A85" s="640" t="s">
        <v>3519</v>
      </c>
      <c r="B85" s="641">
        <v>20164</v>
      </c>
      <c r="C85" s="642" t="s">
        <v>2059</v>
      </c>
    </row>
    <row r="86" spans="1:3" s="1" customFormat="1" ht="54" customHeight="1">
      <c r="A86" s="640"/>
      <c r="B86" s="641"/>
      <c r="C86" s="642" t="s">
        <v>4016</v>
      </c>
    </row>
    <row r="87" spans="1:3">
      <c r="A87" s="643"/>
      <c r="B87" s="643"/>
      <c r="C87" s="643"/>
    </row>
    <row r="88" spans="1:3" s="1" customFormat="1">
      <c r="A88" s="640" t="s">
        <v>3579</v>
      </c>
      <c r="B88" s="641">
        <v>20165</v>
      </c>
      <c r="C88" s="642" t="s">
        <v>2060</v>
      </c>
    </row>
    <row r="89" spans="1:3" s="1" customFormat="1" ht="26.4">
      <c r="A89" s="640" t="s">
        <v>3580</v>
      </c>
      <c r="B89" s="641">
        <v>20166</v>
      </c>
      <c r="C89" s="642" t="s">
        <v>2061</v>
      </c>
    </row>
    <row r="90" spans="1:3" s="1" customFormat="1">
      <c r="A90" s="640" t="s">
        <v>3581</v>
      </c>
      <c r="B90" s="641">
        <v>20167</v>
      </c>
      <c r="C90" s="642" t="s">
        <v>2062</v>
      </c>
    </row>
    <row r="91" spans="1:3" ht="26.4">
      <c r="A91" s="640" t="s">
        <v>3582</v>
      </c>
      <c r="B91" s="641">
        <v>20168</v>
      </c>
      <c r="C91" s="642" t="s">
        <v>2063</v>
      </c>
    </row>
    <row r="92" spans="1:3" ht="15.6" hidden="1" customHeight="1">
      <c r="A92" s="640" t="str">
        <f>IF('[2]Memória de Cálculo'!A319&gt;0,'[2]Memória de Cálculo'!A319,"")</f>
        <v>1.18</v>
      </c>
      <c r="B92" s="641">
        <v>20190</v>
      </c>
      <c r="C92" s="642" t="s">
        <v>2064</v>
      </c>
    </row>
    <row r="93" spans="1:3" ht="98.4" customHeight="1">
      <c r="A93" s="640"/>
      <c r="B93" s="641"/>
      <c r="C93" s="642" t="s">
        <v>4017</v>
      </c>
    </row>
    <row r="94" spans="1:3">
      <c r="A94" s="643"/>
      <c r="B94" s="643"/>
      <c r="C94" s="643"/>
    </row>
    <row r="95" spans="1:3" ht="26.4">
      <c r="A95" s="640" t="s">
        <v>3583</v>
      </c>
      <c r="B95" s="641">
        <v>20200</v>
      </c>
      <c r="C95" s="642" t="s">
        <v>68</v>
      </c>
    </row>
    <row r="96" spans="1:3" ht="15.6" hidden="1" customHeight="1">
      <c r="A96" s="640" t="str">
        <f>IF('[2]Memória de Cálculo'!A323&gt;0,'[2]Memória de Cálculo'!A323,"")</f>
        <v>1.19</v>
      </c>
      <c r="B96" s="641">
        <v>20201</v>
      </c>
      <c r="C96" s="642" t="s">
        <v>69</v>
      </c>
    </row>
    <row r="97" spans="1:3" ht="39.6">
      <c r="A97" s="640"/>
      <c r="B97" s="641"/>
      <c r="C97" s="642" t="s">
        <v>4018</v>
      </c>
    </row>
    <row r="98" spans="1:3">
      <c r="A98" s="643"/>
      <c r="B98" s="643"/>
      <c r="C98" s="643"/>
    </row>
    <row r="99" spans="1:3">
      <c r="A99" s="640" t="s">
        <v>3584</v>
      </c>
      <c r="B99" s="641">
        <v>20202</v>
      </c>
      <c r="C99" s="642" t="s">
        <v>70</v>
      </c>
    </row>
    <row r="100" spans="1:3" ht="15.6" hidden="1" customHeight="1">
      <c r="A100" s="640" t="str">
        <f>IF('[2]Memória de Cálculo'!A328&gt;0,'[2]Memória de Cálculo'!A328,"")</f>
        <v/>
      </c>
      <c r="B100" s="641">
        <v>20203</v>
      </c>
      <c r="C100" s="642" t="s">
        <v>71</v>
      </c>
    </row>
    <row r="101" spans="1:3" ht="52.95" hidden="1" customHeight="1">
      <c r="A101" s="640" t="str">
        <f>IF('[2]Memória de Cálculo'!A329&gt;0,'[2]Memória de Cálculo'!A329,"")</f>
        <v/>
      </c>
      <c r="B101" s="641">
        <v>20210</v>
      </c>
      <c r="C101" s="642" t="s">
        <v>72</v>
      </c>
    </row>
    <row r="102" spans="1:3" ht="52.95" hidden="1" customHeight="1">
      <c r="A102" s="640" t="str">
        <f>IF('[2]Memória de Cálculo'!A330&gt;0,'[2]Memória de Cálculo'!A330,"")</f>
        <v/>
      </c>
      <c r="B102" s="641">
        <v>20212</v>
      </c>
      <c r="C102" s="642" t="s">
        <v>73</v>
      </c>
    </row>
    <row r="103" spans="1:3" ht="26.4" hidden="1" customHeight="1">
      <c r="A103" s="640" t="str">
        <f>IF('[2]Memória de Cálculo'!A331&gt;0,'[2]Memória de Cálculo'!A331,"")</f>
        <v/>
      </c>
      <c r="B103" s="641">
        <v>20302</v>
      </c>
      <c r="C103" s="642" t="s">
        <v>74</v>
      </c>
    </row>
    <row r="104" spans="1:3" ht="26.4" hidden="1" customHeight="1">
      <c r="A104" s="640" t="str">
        <f>IF('[2]Memória de Cálculo'!A332&gt;0,'[2]Memória de Cálculo'!A332,"")</f>
        <v/>
      </c>
      <c r="B104" s="641">
        <v>20303</v>
      </c>
      <c r="C104" s="642" t="s">
        <v>75</v>
      </c>
    </row>
    <row r="105" spans="1:3" ht="15" hidden="1" customHeight="1">
      <c r="A105" s="640" t="str">
        <f>IF('[2]Memória de Cálculo'!A333&gt;0,'[2]Memória de Cálculo'!A333,"")</f>
        <v/>
      </c>
      <c r="B105" s="641">
        <v>20400</v>
      </c>
      <c r="C105" s="642" t="s">
        <v>76</v>
      </c>
    </row>
    <row r="106" spans="1:3" ht="15.6" hidden="1" customHeight="1">
      <c r="A106" s="640" t="str">
        <f>IF('[2]Memória de Cálculo'!A334&gt;0,'[2]Memória de Cálculo'!A334,"")</f>
        <v/>
      </c>
      <c r="B106" s="641">
        <v>20501</v>
      </c>
      <c r="C106" s="642" t="s">
        <v>77</v>
      </c>
    </row>
    <row r="107" spans="1:3" ht="26.4" hidden="1" customHeight="1">
      <c r="A107" s="640" t="str">
        <f>IF('[2]Memória de Cálculo'!A335&gt;0,'[2]Memória de Cálculo'!A335,"")</f>
        <v/>
      </c>
      <c r="B107" s="641">
        <v>20600</v>
      </c>
      <c r="C107" s="642" t="s">
        <v>78</v>
      </c>
    </row>
    <row r="108" spans="1:3" ht="26.4" hidden="1" customHeight="1">
      <c r="A108" s="640" t="str">
        <f>IF('[2]Memória de Cálculo'!A336&gt;0,'[2]Memória de Cálculo'!A336,"")</f>
        <v/>
      </c>
      <c r="B108" s="641">
        <v>20701</v>
      </c>
      <c r="C108" s="642" t="s">
        <v>79</v>
      </c>
    </row>
    <row r="109" spans="1:3" ht="26.4" hidden="1" customHeight="1">
      <c r="A109" s="640" t="str">
        <f>IF('[2]Memória de Cálculo'!A337&gt;0,'[2]Memória de Cálculo'!A337,"")</f>
        <v/>
      </c>
      <c r="B109" s="641">
        <v>20702</v>
      </c>
      <c r="C109" s="642" t="s">
        <v>2065</v>
      </c>
    </row>
    <row r="110" spans="1:3" ht="26.4" hidden="1" customHeight="1">
      <c r="A110" s="640" t="str">
        <f>IF('[2]Memória de Cálculo'!A338&gt;0,'[2]Memória de Cálculo'!A338,"")</f>
        <v/>
      </c>
      <c r="B110" s="641">
        <v>20703</v>
      </c>
      <c r="C110" s="642" t="s">
        <v>2066</v>
      </c>
    </row>
    <row r="111" spans="1:3" ht="15.6" hidden="1" customHeight="1">
      <c r="A111" s="640" t="str">
        <f>IF('[2]Memória de Cálculo'!A339&gt;0,'[2]Memória de Cálculo'!A339,"")</f>
        <v/>
      </c>
      <c r="B111" s="641">
        <v>20801</v>
      </c>
      <c r="C111" s="642" t="s">
        <v>82</v>
      </c>
    </row>
    <row r="112" spans="1:3" ht="15.6" hidden="1" customHeight="1">
      <c r="A112" s="640" t="str">
        <f>IF('[2]Memória de Cálculo'!A340&gt;0,'[2]Memória de Cálculo'!A340,"")</f>
        <v/>
      </c>
      <c r="B112" s="641">
        <v>20807</v>
      </c>
      <c r="C112" s="642" t="s">
        <v>2067</v>
      </c>
    </row>
    <row r="113" spans="1:3" ht="15.6" hidden="1" customHeight="1">
      <c r="A113" s="640" t="str">
        <f>IF('[2]Memória de Cálculo'!A341&gt;0,'[2]Memória de Cálculo'!A341,"")</f>
        <v/>
      </c>
      <c r="B113" s="641">
        <v>20808</v>
      </c>
      <c r="C113" s="642" t="s">
        <v>84</v>
      </c>
    </row>
    <row r="114" spans="1:3" ht="15.6" hidden="1" customHeight="1">
      <c r="A114" s="640" t="str">
        <f>IF('[2]Memória de Cálculo'!A342&gt;0,'[2]Memória de Cálculo'!A342,"")</f>
        <v/>
      </c>
      <c r="B114" s="641">
        <v>21001</v>
      </c>
      <c r="C114" s="642" t="s">
        <v>85</v>
      </c>
    </row>
    <row r="115" spans="1:3" ht="15.6" hidden="1" customHeight="1">
      <c r="A115" s="640" t="str">
        <f>IF('[2]Memória de Cálculo'!A343&gt;0,'[2]Memória de Cálculo'!A343,"")</f>
        <v/>
      </c>
      <c r="B115" s="641">
        <v>21002</v>
      </c>
      <c r="C115" s="642" t="s">
        <v>86</v>
      </c>
    </row>
    <row r="116" spans="1:3" ht="30.75" hidden="1" customHeight="1">
      <c r="A116" s="640" t="str">
        <f>IF('[2]Memória de Cálculo'!A344&gt;0,'[2]Memória de Cálculo'!A344,"")</f>
        <v>1.20</v>
      </c>
      <c r="B116" s="641">
        <v>21003</v>
      </c>
      <c r="C116" s="642" t="s">
        <v>87</v>
      </c>
    </row>
    <row r="117" spans="1:3" ht="91.2" customHeight="1">
      <c r="A117" s="640"/>
      <c r="B117" s="641"/>
      <c r="C117" s="642" t="s">
        <v>4019</v>
      </c>
    </row>
    <row r="118" spans="1:3">
      <c r="A118" s="643"/>
      <c r="B118" s="643"/>
      <c r="C118" s="643"/>
    </row>
    <row r="119" spans="1:3" ht="26.4">
      <c r="A119" s="640" t="s">
        <v>3585</v>
      </c>
      <c r="B119" s="641">
        <v>21301</v>
      </c>
      <c r="C119" s="642" t="s">
        <v>88</v>
      </c>
    </row>
    <row r="120" spans="1:3" ht="15.6" hidden="1" customHeight="1">
      <c r="A120" s="640" t="str">
        <f>IF('[2]Memória de Cálculo'!A348&gt;0,'[2]Memória de Cálculo'!A348,"")</f>
        <v/>
      </c>
      <c r="B120" s="641">
        <v>21399</v>
      </c>
      <c r="C120" s="642" t="s">
        <v>89</v>
      </c>
    </row>
    <row r="121" spans="1:3" ht="15.6" hidden="1" customHeight="1">
      <c r="A121" s="640" t="str">
        <f>IF('[2]Memória de Cálculo'!A349&gt;0,'[2]Memória de Cálculo'!A349,"")</f>
        <v/>
      </c>
      <c r="B121" s="641">
        <v>21400</v>
      </c>
      <c r="C121" s="642" t="s">
        <v>90</v>
      </c>
    </row>
    <row r="122" spans="1:3" ht="15.6" hidden="1" customHeight="1">
      <c r="A122" s="640" t="str">
        <f>IF('[2]Memória de Cálculo'!A350&gt;0,'[2]Memória de Cálculo'!A350,"")</f>
        <v>1.21</v>
      </c>
      <c r="B122" s="641">
        <v>21401</v>
      </c>
      <c r="C122" s="642" t="s">
        <v>91</v>
      </c>
    </row>
    <row r="123" spans="1:3" ht="26.4" hidden="1" customHeight="1">
      <c r="A123" s="640"/>
      <c r="B123" s="641">
        <v>21601</v>
      </c>
      <c r="C123" s="642" t="s">
        <v>2068</v>
      </c>
    </row>
    <row r="124" spans="1:3" ht="92.4">
      <c r="A124" s="640"/>
      <c r="B124" s="641"/>
      <c r="C124" s="642" t="s">
        <v>4020</v>
      </c>
    </row>
    <row r="125" spans="1:3">
      <c r="A125" s="643"/>
      <c r="B125" s="643"/>
      <c r="C125" s="643"/>
    </row>
    <row r="126" spans="1:3" ht="26.4">
      <c r="A126" s="640" t="s">
        <v>3586</v>
      </c>
      <c r="B126" s="641">
        <v>21602</v>
      </c>
      <c r="C126" s="642" t="s">
        <v>2069</v>
      </c>
    </row>
    <row r="127" spans="1:3" ht="39.6">
      <c r="A127" s="640"/>
      <c r="B127" s="641"/>
      <c r="C127" s="642" t="s">
        <v>4021</v>
      </c>
    </row>
    <row r="128" spans="1:3">
      <c r="A128" s="643"/>
      <c r="B128" s="643"/>
      <c r="C128" s="643"/>
    </row>
    <row r="129" spans="1:3">
      <c r="A129" s="640" t="s">
        <v>3587</v>
      </c>
      <c r="B129" s="641" t="s">
        <v>2815</v>
      </c>
      <c r="C129" s="642" t="s">
        <v>2817</v>
      </c>
    </row>
    <row r="130" spans="1:3">
      <c r="A130" s="640" t="s">
        <v>3588</v>
      </c>
      <c r="B130" s="641" t="s">
        <v>2816</v>
      </c>
      <c r="C130" s="642" t="s">
        <v>3743</v>
      </c>
    </row>
    <row r="131" spans="1:3">
      <c r="A131" s="640" t="s">
        <v>3589</v>
      </c>
      <c r="B131" s="641" t="s">
        <v>2648</v>
      </c>
      <c r="C131" s="642" t="s">
        <v>2649</v>
      </c>
    </row>
    <row r="132" spans="1:3" ht="79.2">
      <c r="A132" s="640"/>
      <c r="B132" s="641"/>
      <c r="C132" s="642" t="s">
        <v>4022</v>
      </c>
    </row>
    <row r="133" spans="1:3">
      <c r="A133" s="643"/>
      <c r="B133" s="643"/>
      <c r="C133" s="643"/>
    </row>
    <row r="134" spans="1:3">
      <c r="A134" s="640" t="s">
        <v>3590</v>
      </c>
      <c r="B134" s="641" t="s">
        <v>2929</v>
      </c>
      <c r="C134" s="642" t="s">
        <v>3975</v>
      </c>
    </row>
    <row r="135" spans="1:3" ht="52.8">
      <c r="A135" s="640"/>
      <c r="B135" s="641"/>
      <c r="C135" s="642" t="s">
        <v>4023</v>
      </c>
    </row>
    <row r="136" spans="1:3">
      <c r="A136" s="643"/>
      <c r="B136" s="643"/>
      <c r="C136" s="643"/>
    </row>
    <row r="137" spans="1:3">
      <c r="A137" s="640" t="s">
        <v>3591</v>
      </c>
      <c r="B137" s="644" t="s">
        <v>3022</v>
      </c>
      <c r="C137" s="642" t="s">
        <v>3059</v>
      </c>
    </row>
    <row r="138" spans="1:3">
      <c r="A138" s="640" t="s">
        <v>3592</v>
      </c>
      <c r="B138" s="644" t="s">
        <v>3410</v>
      </c>
      <c r="C138" s="642" t="s">
        <v>3116</v>
      </c>
    </row>
    <row r="139" spans="1:3" ht="52.8">
      <c r="A139" s="640"/>
      <c r="B139" s="644"/>
      <c r="C139" s="642" t="s">
        <v>4024</v>
      </c>
    </row>
    <row r="140" spans="1:3">
      <c r="A140" s="643"/>
      <c r="B140" s="643"/>
      <c r="C140" s="643"/>
    </row>
    <row r="141" spans="1:3">
      <c r="A141" s="640" t="s">
        <v>3593</v>
      </c>
      <c r="B141" s="644" t="s">
        <v>3411</v>
      </c>
      <c r="C141" s="645" t="s">
        <v>3147</v>
      </c>
    </row>
    <row r="142" spans="1:3" ht="52.8">
      <c r="A142" s="640"/>
      <c r="B142" s="641"/>
      <c r="C142" s="642" t="s">
        <v>4025</v>
      </c>
    </row>
    <row r="143" spans="1:3">
      <c r="A143" s="643"/>
      <c r="B143" s="643"/>
      <c r="C143" s="643"/>
    </row>
    <row r="144" spans="1:3">
      <c r="A144" s="640" t="s">
        <v>3594</v>
      </c>
      <c r="B144" s="644" t="s">
        <v>3412</v>
      </c>
      <c r="C144" s="645" t="s">
        <v>3197</v>
      </c>
    </row>
    <row r="145" spans="1:3" ht="39.6">
      <c r="A145" s="640"/>
      <c r="B145" s="644"/>
      <c r="C145" s="645" t="s">
        <v>4026</v>
      </c>
    </row>
    <row r="146" spans="1:3">
      <c r="A146" s="643"/>
      <c r="B146" s="643"/>
      <c r="C146" s="643"/>
    </row>
    <row r="147" spans="1:3">
      <c r="A147" s="640" t="s">
        <v>3595</v>
      </c>
      <c r="B147" s="644" t="s">
        <v>3413</v>
      </c>
      <c r="C147" s="645" t="s">
        <v>3238</v>
      </c>
    </row>
    <row r="148" spans="1:3">
      <c r="A148" s="640" t="s">
        <v>3596</v>
      </c>
      <c r="B148" s="644" t="s">
        <v>3414</v>
      </c>
      <c r="C148" s="645" t="s">
        <v>3239</v>
      </c>
    </row>
    <row r="149" spans="1:3">
      <c r="A149" s="640" t="s">
        <v>3597</v>
      </c>
      <c r="B149" s="644" t="s">
        <v>3415</v>
      </c>
      <c r="C149" s="645" t="s">
        <v>3268</v>
      </c>
    </row>
    <row r="150" spans="1:3" ht="66">
      <c r="A150" s="640"/>
      <c r="B150" s="644"/>
      <c r="C150" s="645" t="s">
        <v>4027</v>
      </c>
    </row>
    <row r="151" spans="1:3">
      <c r="A151" s="643"/>
      <c r="B151" s="643"/>
      <c r="C151" s="643"/>
    </row>
    <row r="152" spans="1:3">
      <c r="A152" s="640" t="s">
        <v>3598</v>
      </c>
      <c r="B152" s="644" t="s">
        <v>3416</v>
      </c>
      <c r="C152" s="645" t="s">
        <v>3284</v>
      </c>
    </row>
    <row r="153" spans="1:3" ht="39.6">
      <c r="A153" s="640"/>
      <c r="B153" s="644"/>
      <c r="C153" s="645" t="s">
        <v>4028</v>
      </c>
    </row>
    <row r="154" spans="1:3">
      <c r="A154" s="643"/>
      <c r="B154" s="643"/>
      <c r="C154" s="643"/>
    </row>
    <row r="155" spans="1:3" ht="26.4">
      <c r="A155" s="640" t="s">
        <v>3599</v>
      </c>
      <c r="B155" s="644" t="s">
        <v>3417</v>
      </c>
      <c r="C155" s="645" t="s">
        <v>3896</v>
      </c>
    </row>
    <row r="156" spans="1:3" ht="66">
      <c r="A156" s="640"/>
      <c r="B156" s="644"/>
      <c r="C156" s="645" t="s">
        <v>4029</v>
      </c>
    </row>
    <row r="157" spans="1:3">
      <c r="A157" s="643"/>
      <c r="B157" s="643"/>
      <c r="C157" s="643"/>
    </row>
    <row r="158" spans="1:3" ht="15.6">
      <c r="A158" s="637">
        <v>2</v>
      </c>
      <c r="B158" s="638">
        <v>30000</v>
      </c>
      <c r="C158" s="639" t="s">
        <v>94</v>
      </c>
    </row>
    <row r="159" spans="1:3" ht="15.6" hidden="1" customHeight="1">
      <c r="A159" s="640"/>
      <c r="B159" s="641">
        <v>30101</v>
      </c>
      <c r="C159" s="646" t="s">
        <v>95</v>
      </c>
    </row>
    <row r="160" spans="1:3">
      <c r="A160" s="640" t="s">
        <v>3600</v>
      </c>
      <c r="B160" s="641">
        <v>30104</v>
      </c>
      <c r="C160" s="646" t="s">
        <v>96</v>
      </c>
    </row>
    <row r="161" spans="1:3">
      <c r="A161" s="640" t="s">
        <v>3601</v>
      </c>
      <c r="B161" s="641">
        <v>30105</v>
      </c>
      <c r="C161" s="646" t="s">
        <v>97</v>
      </c>
    </row>
    <row r="162" spans="1:3" ht="30.6" hidden="1" customHeight="1">
      <c r="A162" s="640" t="str">
        <f>IF('[2]Memória de Cálculo'!A472&gt;0,'[2]Memória de Cálculo'!A472,"")</f>
        <v/>
      </c>
      <c r="B162" s="641">
        <v>30106</v>
      </c>
      <c r="C162" s="646" t="s">
        <v>98</v>
      </c>
    </row>
    <row r="163" spans="1:3" ht="21" hidden="1" customHeight="1">
      <c r="A163" s="640" t="str">
        <f>IF('[2]Memória de Cálculo'!A473&gt;0,'[2]Memória de Cálculo'!A473,"")</f>
        <v/>
      </c>
      <c r="B163" s="641">
        <v>30110</v>
      </c>
      <c r="C163" s="646" t="s">
        <v>99</v>
      </c>
    </row>
    <row r="164" spans="1:3" ht="26.4" hidden="1" customHeight="1">
      <c r="A164" s="640" t="str">
        <f>IF('[2]Memória de Cálculo'!A474&gt;0,'[2]Memória de Cálculo'!A474,"")</f>
        <v/>
      </c>
      <c r="B164" s="641">
        <v>30112</v>
      </c>
      <c r="C164" s="646" t="s">
        <v>101</v>
      </c>
    </row>
    <row r="165" spans="1:3" ht="26.4" hidden="1" customHeight="1">
      <c r="A165" s="640"/>
      <c r="B165" s="641">
        <v>30113</v>
      </c>
      <c r="C165" s="646" t="s">
        <v>102</v>
      </c>
    </row>
    <row r="166" spans="1:3" ht="52.8">
      <c r="A166" s="640"/>
      <c r="B166" s="641"/>
      <c r="C166" s="646" t="s">
        <v>4030</v>
      </c>
    </row>
    <row r="167" spans="1:3">
      <c r="A167" s="643"/>
      <c r="B167" s="643"/>
      <c r="C167" s="643"/>
    </row>
    <row r="168" spans="1:3" ht="26.4">
      <c r="A168" s="640" t="s">
        <v>3602</v>
      </c>
      <c r="B168" s="641">
        <v>30114</v>
      </c>
      <c r="C168" s="646" t="s">
        <v>103</v>
      </c>
    </row>
    <row r="169" spans="1:3" ht="26.4">
      <c r="A169" s="640" t="s">
        <v>3603</v>
      </c>
      <c r="B169" s="641">
        <v>30116</v>
      </c>
      <c r="C169" s="646" t="s">
        <v>104</v>
      </c>
    </row>
    <row r="170" spans="1:3" ht="26.4">
      <c r="A170" s="640"/>
      <c r="B170" s="641"/>
      <c r="C170" s="646" t="s">
        <v>4031</v>
      </c>
    </row>
    <row r="171" spans="1:3">
      <c r="A171" s="643"/>
      <c r="B171" s="643"/>
      <c r="C171" s="643"/>
    </row>
    <row r="172" spans="1:3" ht="26.4">
      <c r="A172" s="640" t="s">
        <v>3604</v>
      </c>
      <c r="B172" s="644" t="s">
        <v>2705</v>
      </c>
      <c r="C172" s="645" t="s">
        <v>3898</v>
      </c>
    </row>
    <row r="173" spans="1:3" ht="26.4">
      <c r="A173" s="640"/>
      <c r="B173" s="641"/>
      <c r="C173" s="646" t="s">
        <v>4032</v>
      </c>
    </row>
    <row r="174" spans="1:3">
      <c r="A174" s="643"/>
      <c r="B174" s="643"/>
      <c r="C174" s="643"/>
    </row>
    <row r="175" spans="1:3" ht="15.6">
      <c r="A175" s="637">
        <v>3</v>
      </c>
      <c r="B175" s="638">
        <v>40000</v>
      </c>
      <c r="C175" s="639" t="s">
        <v>2070</v>
      </c>
    </row>
    <row r="176" spans="1:3">
      <c r="A176" s="640" t="s">
        <v>2614</v>
      </c>
      <c r="B176" s="641">
        <v>40101</v>
      </c>
      <c r="C176" s="646" t="s">
        <v>106</v>
      </c>
    </row>
    <row r="177" spans="1:3" ht="15.6" hidden="1" customHeight="1">
      <c r="A177" s="640" t="str">
        <f>IF('[2]Memória de Cálculo'!A487&gt;0,'[2]Memória de Cálculo'!A487,"")</f>
        <v/>
      </c>
      <c r="B177" s="641">
        <v>40103</v>
      </c>
      <c r="C177" s="646" t="s">
        <v>107</v>
      </c>
    </row>
    <row r="178" spans="1:3" ht="15.6" hidden="1" customHeight="1">
      <c r="A178" s="640" t="str">
        <f>IF('[2]Memória de Cálculo'!A488&gt;0,'[2]Memória de Cálculo'!A488,"")</f>
        <v>3.2</v>
      </c>
      <c r="B178" s="641">
        <v>40104</v>
      </c>
      <c r="C178" s="646" t="s">
        <v>108</v>
      </c>
    </row>
    <row r="179" spans="1:3">
      <c r="A179" s="640" t="s">
        <v>2615</v>
      </c>
      <c r="B179" s="641">
        <v>40902</v>
      </c>
      <c r="C179" s="646" t="s">
        <v>109</v>
      </c>
    </row>
    <row r="180" spans="1:3" ht="15.6" hidden="1" customHeight="1">
      <c r="A180" s="640"/>
      <c r="B180" s="641"/>
      <c r="C180" s="646"/>
    </row>
    <row r="181" spans="1:3" ht="15.6" hidden="1" customHeight="1">
      <c r="A181" s="640" t="str">
        <f>IF('[2]Memória de Cálculo'!A493&gt;0,'[2]Memória de Cálculo'!A493,"")</f>
        <v/>
      </c>
      <c r="B181" s="641">
        <v>40904</v>
      </c>
      <c r="C181" s="646" t="s">
        <v>110</v>
      </c>
    </row>
    <row r="182" spans="1:3" ht="15.6" hidden="1" customHeight="1">
      <c r="A182" s="640" t="str">
        <f>IF('[2]Memória de Cálculo'!A494&gt;0,'[2]Memória de Cálculo'!A494,"")</f>
        <v/>
      </c>
      <c r="B182" s="641">
        <v>40905</v>
      </c>
      <c r="C182" s="646" t="s">
        <v>111</v>
      </c>
    </row>
    <row r="183" spans="1:3" ht="15.6" hidden="1" customHeight="1">
      <c r="A183" s="640" t="str">
        <f>IF('[2]Memória de Cálculo'!A495&gt;0,'[2]Memória de Cálculo'!A495,"")</f>
        <v/>
      </c>
      <c r="B183" s="641">
        <v>41001</v>
      </c>
      <c r="C183" s="646" t="s">
        <v>2071</v>
      </c>
    </row>
    <row r="184" spans="1:3" ht="15.6" hidden="1" customHeight="1">
      <c r="A184" s="640" t="str">
        <f>IF('[2]Memória de Cálculo'!A496&gt;0,'[2]Memória de Cálculo'!A496,"")</f>
        <v/>
      </c>
      <c r="B184" s="641">
        <v>41002</v>
      </c>
      <c r="C184" s="646" t="s">
        <v>113</v>
      </c>
    </row>
    <row r="185" spans="1:3" ht="15.6" hidden="1" customHeight="1">
      <c r="A185" s="640" t="str">
        <f>IF('[2]Memória de Cálculo'!A497&gt;0,'[2]Memória de Cálculo'!A497,"")</f>
        <v/>
      </c>
      <c r="B185" s="641">
        <v>41003</v>
      </c>
      <c r="C185" s="646" t="s">
        <v>2072</v>
      </c>
    </row>
    <row r="186" spans="1:3" ht="15.6" hidden="1" customHeight="1">
      <c r="A186" s="640" t="str">
        <f>IF('[2]Memória de Cálculo'!A498&gt;0,'[2]Memória de Cálculo'!A498,"")</f>
        <v/>
      </c>
      <c r="B186" s="641">
        <v>41004</v>
      </c>
      <c r="C186" s="646" t="s">
        <v>115</v>
      </c>
    </row>
    <row r="187" spans="1:3" ht="15.6" hidden="1" customHeight="1">
      <c r="A187" s="640" t="str">
        <f>IF('[2]Memória de Cálculo'!A499&gt;0,'[2]Memória de Cálculo'!A499,"")</f>
        <v/>
      </c>
      <c r="B187" s="641">
        <v>41005</v>
      </c>
      <c r="C187" s="646" t="s">
        <v>116</v>
      </c>
    </row>
    <row r="188" spans="1:3" ht="15.6" hidden="1" customHeight="1">
      <c r="A188" s="640" t="str">
        <f>IF('[2]Memória de Cálculo'!A500&gt;0,'[2]Memória de Cálculo'!A500,"")</f>
        <v/>
      </c>
      <c r="B188" s="641">
        <v>41006</v>
      </c>
      <c r="C188" s="646" t="s">
        <v>117</v>
      </c>
    </row>
    <row r="189" spans="1:3" ht="15.6" hidden="1" customHeight="1">
      <c r="A189" s="640" t="str">
        <f>IF('[2]Memória de Cálculo'!A501&gt;0,'[2]Memória de Cálculo'!A501,"")</f>
        <v/>
      </c>
      <c r="B189" s="641">
        <v>41007</v>
      </c>
      <c r="C189" s="646" t="s">
        <v>119</v>
      </c>
    </row>
    <row r="190" spans="1:3" ht="15.6" hidden="1" customHeight="1">
      <c r="A190" s="640" t="str">
        <f>IF('[2]Memória de Cálculo'!A502&gt;0,'[2]Memória de Cálculo'!A502,"")</f>
        <v/>
      </c>
      <c r="B190" s="641">
        <v>41008</v>
      </c>
      <c r="C190" s="646" t="s">
        <v>120</v>
      </c>
    </row>
    <row r="191" spans="1:3" ht="15.6" hidden="1" customHeight="1">
      <c r="A191" s="640" t="str">
        <f>IF('[2]Memória de Cálculo'!A503&gt;0,'[2]Memória de Cálculo'!A503,"")</f>
        <v/>
      </c>
      <c r="B191" s="641">
        <v>41009</v>
      </c>
      <c r="C191" s="646" t="s">
        <v>121</v>
      </c>
    </row>
    <row r="192" spans="1:3" ht="15.6" hidden="1" customHeight="1">
      <c r="A192" s="640" t="str">
        <f>IF('[2]Memória de Cálculo'!A504&gt;0,'[2]Memória de Cálculo'!A504,"")</f>
        <v/>
      </c>
      <c r="B192" s="641">
        <v>41010</v>
      </c>
      <c r="C192" s="646" t="s">
        <v>122</v>
      </c>
    </row>
    <row r="193" spans="1:3" ht="15.6" hidden="1" customHeight="1">
      <c r="A193" s="640" t="str">
        <f>IF('[2]Memória de Cálculo'!A505&gt;0,'[2]Memória de Cálculo'!A505,"")</f>
        <v/>
      </c>
      <c r="B193" s="641">
        <v>41012</v>
      </c>
      <c r="C193" s="646" t="s">
        <v>123</v>
      </c>
    </row>
    <row r="194" spans="1:3" ht="26.4" hidden="1" customHeight="1">
      <c r="A194" s="640" t="str">
        <f>IF('[2]Memória de Cálculo'!A506&gt;0,'[2]Memória de Cálculo'!A506,"")</f>
        <v/>
      </c>
      <c r="B194" s="641">
        <v>41140</v>
      </c>
      <c r="C194" s="646" t="s">
        <v>124</v>
      </c>
    </row>
    <row r="195" spans="1:3" ht="15.6" hidden="1" customHeight="1">
      <c r="A195" s="640" t="str">
        <f>IF('[2]Memória de Cálculo'!A507&gt;0,'[2]Memória de Cálculo'!A507,"")</f>
        <v/>
      </c>
      <c r="B195" s="641">
        <v>41160</v>
      </c>
      <c r="C195" s="646" t="s">
        <v>125</v>
      </c>
    </row>
    <row r="196" spans="1:3" ht="66">
      <c r="A196" s="640"/>
      <c r="B196" s="641"/>
      <c r="C196" s="646" t="s">
        <v>4033</v>
      </c>
    </row>
    <row r="197" spans="1:3">
      <c r="A197" s="643"/>
      <c r="B197" s="643"/>
      <c r="C197" s="643"/>
    </row>
    <row r="198" spans="1:3" ht="15.6" hidden="1" customHeight="1">
      <c r="A198" s="637"/>
      <c r="B198" s="638">
        <v>50000</v>
      </c>
      <c r="C198" s="639" t="s">
        <v>126</v>
      </c>
    </row>
    <row r="199" spans="1:3" ht="15.6" hidden="1" customHeight="1">
      <c r="A199" s="640" t="str">
        <f>IF('[2]Memória de Cálculo'!A509&gt;0,'[2]Memória de Cálculo'!A509,"")</f>
        <v/>
      </c>
      <c r="B199" s="641">
        <v>50101</v>
      </c>
      <c r="C199" s="646" t="s">
        <v>2073</v>
      </c>
    </row>
    <row r="200" spans="1:3" ht="15.6" hidden="1" customHeight="1">
      <c r="A200" s="640" t="str">
        <f>IF('[2]Memória de Cálculo'!A510&gt;0,'[2]Memória de Cálculo'!A510,"")</f>
        <v/>
      </c>
      <c r="B200" s="641">
        <v>50102</v>
      </c>
      <c r="C200" s="646" t="s">
        <v>2074</v>
      </c>
    </row>
    <row r="201" spans="1:3" ht="15.6" hidden="1" customHeight="1">
      <c r="A201" s="640" t="str">
        <f>IF('[2]Memória de Cálculo'!A511&gt;0,'[2]Memória de Cálculo'!A511,"")</f>
        <v/>
      </c>
      <c r="B201" s="641">
        <v>50103</v>
      </c>
      <c r="C201" s="646" t="s">
        <v>2075</v>
      </c>
    </row>
    <row r="202" spans="1:3" ht="15.6" hidden="1" customHeight="1">
      <c r="A202" s="640" t="str">
        <f>IF('[2]Memória de Cálculo'!A512&gt;0,'[2]Memória de Cálculo'!A512,"")</f>
        <v/>
      </c>
      <c r="B202" s="641">
        <v>50201</v>
      </c>
      <c r="C202" s="646" t="s">
        <v>131</v>
      </c>
    </row>
    <row r="203" spans="1:3" ht="15.6" hidden="1" customHeight="1">
      <c r="A203" s="640" t="str">
        <f>IF('[2]Memória de Cálculo'!A513&gt;0,'[2]Memória de Cálculo'!A513,"")</f>
        <v/>
      </c>
      <c r="B203" s="641">
        <v>50204</v>
      </c>
      <c r="C203" s="646" t="s">
        <v>132</v>
      </c>
    </row>
    <row r="204" spans="1:3" ht="15.6" hidden="1" customHeight="1">
      <c r="A204" s="640" t="str">
        <f>IF('[2]Memória de Cálculo'!A514&gt;0,'[2]Memória de Cálculo'!A514,"")</f>
        <v/>
      </c>
      <c r="B204" s="641">
        <v>50250</v>
      </c>
      <c r="C204" s="646" t="s">
        <v>133</v>
      </c>
    </row>
    <row r="205" spans="1:3" ht="15.6" hidden="1" customHeight="1">
      <c r="A205" s="640" t="str">
        <f>IF('[2]Memória de Cálculo'!A515&gt;0,'[2]Memória de Cálculo'!A515,"")</f>
        <v/>
      </c>
      <c r="B205" s="641">
        <v>50251</v>
      </c>
      <c r="C205" s="646" t="s">
        <v>134</v>
      </c>
    </row>
    <row r="206" spans="1:3" ht="15.6" hidden="1" customHeight="1">
      <c r="A206" s="640" t="str">
        <f>IF('[2]Memória de Cálculo'!A516&gt;0,'[2]Memória de Cálculo'!A516,"")</f>
        <v/>
      </c>
      <c r="B206" s="641">
        <v>50301</v>
      </c>
      <c r="C206" s="646" t="s">
        <v>135</v>
      </c>
    </row>
    <row r="207" spans="1:3" ht="15.6" hidden="1" customHeight="1">
      <c r="A207" s="640" t="str">
        <f>IF('[2]Memória de Cálculo'!A517&gt;0,'[2]Memória de Cálculo'!A517,"")</f>
        <v/>
      </c>
      <c r="B207" s="641">
        <v>50302</v>
      </c>
      <c r="C207" s="646" t="s">
        <v>137</v>
      </c>
    </row>
    <row r="208" spans="1:3" ht="15.6" hidden="1" customHeight="1">
      <c r="A208" s="640" t="str">
        <f>IF('[2]Memória de Cálculo'!A518&gt;0,'[2]Memória de Cálculo'!A518,"")</f>
        <v/>
      </c>
      <c r="B208" s="641">
        <v>50620</v>
      </c>
      <c r="C208" s="646" t="s">
        <v>138</v>
      </c>
    </row>
    <row r="209" spans="1:3" ht="15.6" hidden="1" customHeight="1">
      <c r="A209" s="640" t="str">
        <f>IF('[2]Memória de Cálculo'!A519&gt;0,'[2]Memória de Cálculo'!A519,"")</f>
        <v/>
      </c>
      <c r="B209" s="641">
        <v>50901</v>
      </c>
      <c r="C209" s="646" t="s">
        <v>139</v>
      </c>
    </row>
    <row r="210" spans="1:3" ht="15.6" hidden="1" customHeight="1">
      <c r="A210" s="640" t="str">
        <f>IF('[2]Memória de Cálculo'!A520&gt;0,'[2]Memória de Cálculo'!A520,"")</f>
        <v/>
      </c>
      <c r="B210" s="641">
        <v>50902</v>
      </c>
      <c r="C210" s="646" t="s">
        <v>140</v>
      </c>
    </row>
    <row r="211" spans="1:3" ht="15.6" hidden="1" customHeight="1">
      <c r="A211" s="640" t="str">
        <f>IF('[2]Memória de Cálculo'!A521&gt;0,'[2]Memória de Cálculo'!A521,"")</f>
        <v/>
      </c>
      <c r="B211" s="641">
        <v>50903</v>
      </c>
      <c r="C211" s="646" t="s">
        <v>2076</v>
      </c>
    </row>
    <row r="212" spans="1:3" ht="15.6" hidden="1" customHeight="1">
      <c r="A212" s="640" t="str">
        <f>IF('[2]Memória de Cálculo'!A522&gt;0,'[2]Memória de Cálculo'!A522,"")</f>
        <v/>
      </c>
      <c r="B212" s="641">
        <v>50905</v>
      </c>
      <c r="C212" s="646" t="s">
        <v>2077</v>
      </c>
    </row>
    <row r="213" spans="1:3" ht="15.6" hidden="1" customHeight="1">
      <c r="A213" s="640" t="str">
        <f>IF('[2]Memória de Cálculo'!A523&gt;0,'[2]Memória de Cálculo'!A523,"")</f>
        <v/>
      </c>
      <c r="B213" s="641">
        <v>50907</v>
      </c>
      <c r="C213" s="646" t="s">
        <v>143</v>
      </c>
    </row>
    <row r="214" spans="1:3" ht="15.6" hidden="1" customHeight="1">
      <c r="A214" s="640" t="str">
        <f>IF('[2]Memória de Cálculo'!A524&gt;0,'[2]Memória de Cálculo'!A524,"")</f>
        <v/>
      </c>
      <c r="B214" s="641">
        <v>51001</v>
      </c>
      <c r="C214" s="646" t="s">
        <v>144</v>
      </c>
    </row>
    <row r="215" spans="1:3" ht="15.6" hidden="1" customHeight="1">
      <c r="A215" s="640" t="str">
        <f>IF('[2]Memória de Cálculo'!A525&gt;0,'[2]Memória de Cálculo'!A525,"")</f>
        <v/>
      </c>
      <c r="B215" s="641">
        <v>51002</v>
      </c>
      <c r="C215" s="646" t="s">
        <v>145</v>
      </c>
    </row>
    <row r="216" spans="1:3" ht="14.4" hidden="1" customHeight="1">
      <c r="A216" s="640" t="str">
        <f>IF('[2]Memória de Cálculo'!A526&gt;0,'[2]Memória de Cálculo'!A526,"")</f>
        <v/>
      </c>
      <c r="B216" s="641">
        <v>51009</v>
      </c>
      <c r="C216" s="646" t="s">
        <v>2078</v>
      </c>
    </row>
    <row r="217" spans="1:3" ht="15.6" hidden="1" customHeight="1">
      <c r="A217" s="640" t="str">
        <f>IF('[2]Memória de Cálculo'!A530&gt;0,'[2]Memória de Cálculo'!A530,"")</f>
        <v/>
      </c>
      <c r="B217" s="641">
        <v>51015</v>
      </c>
      <c r="C217" s="646" t="s">
        <v>2079</v>
      </c>
    </row>
    <row r="218" spans="1:3" ht="15.6" hidden="1" customHeight="1">
      <c r="A218" s="640" t="str">
        <f>IF('[2]Memória de Cálculo'!A531&gt;0,'[2]Memória de Cálculo'!A531,"")</f>
        <v/>
      </c>
      <c r="B218" s="641">
        <v>51017</v>
      </c>
      <c r="C218" s="646" t="s">
        <v>2080</v>
      </c>
    </row>
    <row r="219" spans="1:3" ht="15.6" hidden="1" customHeight="1">
      <c r="A219" s="640" t="str">
        <f>IF('[2]Memória de Cálculo'!A532&gt;0,'[2]Memória de Cálculo'!A532,"")</f>
        <v/>
      </c>
      <c r="B219" s="641">
        <v>51020</v>
      </c>
      <c r="C219" s="646" t="s">
        <v>2081</v>
      </c>
    </row>
    <row r="220" spans="1:3" ht="15.6" hidden="1" customHeight="1">
      <c r="A220" s="640" t="str">
        <f>IF('[2]Memória de Cálculo'!A533&gt;0,'[2]Memória de Cálculo'!A533,"")</f>
        <v/>
      </c>
      <c r="B220" s="641">
        <v>51023</v>
      </c>
      <c r="C220" s="646" t="s">
        <v>2082</v>
      </c>
    </row>
    <row r="221" spans="1:3" ht="15.6" hidden="1" customHeight="1">
      <c r="A221" s="640" t="str">
        <f>IF('[2]Memória de Cálculo'!A534&gt;0,'[2]Memória de Cálculo'!A534,"")</f>
        <v/>
      </c>
      <c r="B221" s="641">
        <v>51024</v>
      </c>
      <c r="C221" s="646" t="s">
        <v>151</v>
      </c>
    </row>
    <row r="222" spans="1:3" ht="15.6" hidden="1" customHeight="1">
      <c r="A222" s="640" t="str">
        <f>IF('[2]Memória de Cálculo'!A535&gt;0,'[2]Memória de Cálculo'!A535,"")</f>
        <v/>
      </c>
      <c r="B222" s="641">
        <v>51025</v>
      </c>
      <c r="C222" s="646" t="s">
        <v>152</v>
      </c>
    </row>
    <row r="223" spans="1:3" ht="15.6" hidden="1" customHeight="1">
      <c r="A223" s="640" t="str">
        <f>IF('[2]Memória de Cálculo'!A536&gt;0,'[2]Memória de Cálculo'!A536,"")</f>
        <v/>
      </c>
      <c r="B223" s="641">
        <v>51026</v>
      </c>
      <c r="C223" s="646" t="s">
        <v>153</v>
      </c>
    </row>
    <row r="224" spans="1:3" ht="15.6" hidden="1" customHeight="1">
      <c r="A224" s="640" t="str">
        <f>IF('[2]Memória de Cálculo'!A537&gt;0,'[2]Memória de Cálculo'!A537,"")</f>
        <v/>
      </c>
      <c r="B224" s="641">
        <v>51027</v>
      </c>
      <c r="C224" s="646" t="s">
        <v>154</v>
      </c>
    </row>
    <row r="225" spans="1:3" ht="15.6" hidden="1" customHeight="1">
      <c r="A225" s="640" t="str">
        <f>IF('[2]Memória de Cálculo'!A538&gt;0,'[2]Memória de Cálculo'!A538,"")</f>
        <v/>
      </c>
      <c r="B225" s="641">
        <v>51029</v>
      </c>
      <c r="C225" s="646" t="s">
        <v>155</v>
      </c>
    </row>
    <row r="226" spans="1:3" ht="15.6" hidden="1" customHeight="1">
      <c r="A226" s="640" t="str">
        <f>IF('[2]Memória de Cálculo'!A539&gt;0,'[2]Memória de Cálculo'!A539,"")</f>
        <v/>
      </c>
      <c r="B226" s="641">
        <v>51030</v>
      </c>
      <c r="C226" s="646" t="s">
        <v>156</v>
      </c>
    </row>
    <row r="227" spans="1:3" ht="15.6" hidden="1" customHeight="1">
      <c r="A227" s="640" t="str">
        <f>IF('[2]Memória de Cálculo'!A542&gt;0,'[2]Memória de Cálculo'!A542,"")</f>
        <v/>
      </c>
      <c r="B227" s="641">
        <v>51031</v>
      </c>
      <c r="C227" s="646" t="s">
        <v>157</v>
      </c>
    </row>
    <row r="228" spans="1:3" ht="15.6" hidden="1" customHeight="1">
      <c r="A228" s="640" t="str">
        <f>IF('[2]Memória de Cálculo'!A543&gt;0,'[2]Memória de Cálculo'!A543,"")</f>
        <v/>
      </c>
      <c r="B228" s="641">
        <v>51032</v>
      </c>
      <c r="C228" s="646" t="s">
        <v>158</v>
      </c>
    </row>
    <row r="229" spans="1:3" ht="15.6" hidden="1" customHeight="1">
      <c r="A229" s="640" t="str">
        <f>IF('[2]Memória de Cálculo'!A544&gt;0,'[2]Memória de Cálculo'!A544,"")</f>
        <v/>
      </c>
      <c r="B229" s="641">
        <v>51033</v>
      </c>
      <c r="C229" s="646" t="s">
        <v>159</v>
      </c>
    </row>
    <row r="230" spans="1:3" ht="15.6" hidden="1" customHeight="1">
      <c r="A230" s="640" t="str">
        <f>IF('[2]Memória de Cálculo'!A545&gt;0,'[2]Memória de Cálculo'!A545,"")</f>
        <v/>
      </c>
      <c r="B230" s="641">
        <v>51035</v>
      </c>
      <c r="C230" s="646" t="s">
        <v>160</v>
      </c>
    </row>
    <row r="231" spans="1:3" ht="15.6" hidden="1" customHeight="1">
      <c r="A231" s="640" t="str">
        <f>IF('[2]Memória de Cálculo'!A546&gt;0,'[2]Memória de Cálculo'!A546,"")</f>
        <v/>
      </c>
      <c r="B231" s="641">
        <v>51036</v>
      </c>
      <c r="C231" s="646" t="s">
        <v>161</v>
      </c>
    </row>
    <row r="232" spans="1:3" ht="15.6" hidden="1" customHeight="1">
      <c r="A232" s="640" t="str">
        <f>IF('[2]Memória de Cálculo'!A547&gt;0,'[2]Memória de Cálculo'!A547,"")</f>
        <v/>
      </c>
      <c r="B232" s="641">
        <v>51037</v>
      </c>
      <c r="C232" s="646" t="s">
        <v>162</v>
      </c>
    </row>
    <row r="233" spans="1:3" ht="15.6" hidden="1" customHeight="1">
      <c r="A233" s="640" t="str">
        <f>IF('[2]Memória de Cálculo'!A548&gt;0,'[2]Memória de Cálculo'!A548,"")</f>
        <v/>
      </c>
      <c r="B233" s="641">
        <v>51045</v>
      </c>
      <c r="C233" s="646" t="s">
        <v>163</v>
      </c>
    </row>
    <row r="234" spans="1:3" ht="15.6" hidden="1" customHeight="1">
      <c r="A234" s="640" t="str">
        <f>IF('[2]Memória de Cálculo'!A549&gt;0,'[2]Memória de Cálculo'!A549,"")</f>
        <v/>
      </c>
      <c r="B234" s="641">
        <v>51055</v>
      </c>
      <c r="C234" s="646" t="s">
        <v>164</v>
      </c>
    </row>
    <row r="235" spans="1:3" ht="15.6" hidden="1" customHeight="1">
      <c r="A235" s="640" t="str">
        <f>IF('[2]Memória de Cálculo'!A550&gt;0,'[2]Memória de Cálculo'!A550,"")</f>
        <v/>
      </c>
      <c r="B235" s="641">
        <v>51060</v>
      </c>
      <c r="C235" s="646" t="s">
        <v>165</v>
      </c>
    </row>
    <row r="236" spans="1:3" ht="15.6" hidden="1" customHeight="1">
      <c r="A236" s="640" t="str">
        <f>IF('[2]Memória de Cálculo'!A551&gt;0,'[2]Memória de Cálculo'!A551,"")</f>
        <v/>
      </c>
      <c r="B236" s="641">
        <v>52002</v>
      </c>
      <c r="C236" s="646" t="s">
        <v>166</v>
      </c>
    </row>
    <row r="237" spans="1:3" ht="15.6" hidden="1" customHeight="1">
      <c r="A237" s="640" t="str">
        <f>IF('[2]Memória de Cálculo'!A552&gt;0,'[2]Memória de Cálculo'!A552,"")</f>
        <v/>
      </c>
      <c r="B237" s="641">
        <v>52003</v>
      </c>
      <c r="C237" s="646" t="s">
        <v>168</v>
      </c>
    </row>
    <row r="238" spans="1:3" ht="15.6" hidden="1" customHeight="1">
      <c r="A238" s="640" t="str">
        <f>IF('[2]Memória de Cálculo'!A553&gt;0,'[2]Memória de Cálculo'!A553,"")</f>
        <v/>
      </c>
      <c r="B238" s="641">
        <v>52004</v>
      </c>
      <c r="C238" s="646" t="s">
        <v>169</v>
      </c>
    </row>
    <row r="239" spans="1:3" ht="15.6" hidden="1" customHeight="1">
      <c r="A239" s="640" t="str">
        <f>IF('[2]Memória de Cálculo'!A554&gt;0,'[2]Memória de Cálculo'!A554,"")</f>
        <v/>
      </c>
      <c r="B239" s="641">
        <v>52005</v>
      </c>
      <c r="C239" s="646" t="s">
        <v>170</v>
      </c>
    </row>
    <row r="240" spans="1:3" ht="15.6" hidden="1" customHeight="1">
      <c r="A240" s="640" t="str">
        <f>IF('[2]Memória de Cálculo'!A555&gt;0,'[2]Memória de Cálculo'!A555,"")</f>
        <v/>
      </c>
      <c r="B240" s="641">
        <v>52006</v>
      </c>
      <c r="C240" s="646" t="s">
        <v>171</v>
      </c>
    </row>
    <row r="241" spans="1:3" ht="15.6" hidden="1" customHeight="1">
      <c r="A241" s="640" t="str">
        <f>IF('[2]Memória de Cálculo'!A556&gt;0,'[2]Memória de Cálculo'!A556,"")</f>
        <v/>
      </c>
      <c r="B241" s="641">
        <v>52007</v>
      </c>
      <c r="C241" s="646" t="s">
        <v>172</v>
      </c>
    </row>
    <row r="242" spans="1:3" ht="15.6" hidden="1" customHeight="1">
      <c r="A242" s="640" t="str">
        <f>IF('[2]Memória de Cálculo'!A557&gt;0,'[2]Memória de Cálculo'!A557,"")</f>
        <v/>
      </c>
      <c r="B242" s="641">
        <v>52008</v>
      </c>
      <c r="C242" s="646" t="s">
        <v>173</v>
      </c>
    </row>
    <row r="243" spans="1:3" ht="15.6" hidden="1" customHeight="1">
      <c r="A243" s="640" t="str">
        <f>IF('[2]Memória de Cálculo'!A558&gt;0,'[2]Memória de Cálculo'!A558,"")</f>
        <v/>
      </c>
      <c r="B243" s="641">
        <v>52010</v>
      </c>
      <c r="C243" s="646" t="s">
        <v>174</v>
      </c>
    </row>
    <row r="244" spans="1:3" ht="15.6" hidden="1" customHeight="1">
      <c r="A244" s="640" t="str">
        <f>IF('[2]Memória de Cálculo'!A559&gt;0,'[2]Memória de Cálculo'!A559,"")</f>
        <v/>
      </c>
      <c r="B244" s="641">
        <v>52012</v>
      </c>
      <c r="C244" s="646" t="s">
        <v>175</v>
      </c>
    </row>
    <row r="245" spans="1:3" ht="39.6" hidden="1" customHeight="1">
      <c r="A245" s="640"/>
      <c r="B245" s="641"/>
      <c r="C245" s="646" t="s">
        <v>4034</v>
      </c>
    </row>
    <row r="246" spans="1:3" ht="15.6" hidden="1" customHeight="1">
      <c r="A246" s="640">
        <f>IF('[2]Memória de Cálculo'!A560&gt;0,'[2]Memória de Cálculo'!A560,"")</f>
        <v>4</v>
      </c>
      <c r="B246" s="641">
        <v>52014</v>
      </c>
      <c r="C246" s="646" t="s">
        <v>176</v>
      </c>
    </row>
    <row r="247" spans="1:3" ht="15.6">
      <c r="A247" s="637">
        <v>4</v>
      </c>
      <c r="B247" s="638">
        <v>60000</v>
      </c>
      <c r="C247" s="639" t="s">
        <v>177</v>
      </c>
    </row>
    <row r="248" spans="1:3">
      <c r="A248" s="640" t="s">
        <v>2813</v>
      </c>
      <c r="B248" s="641">
        <v>60010</v>
      </c>
      <c r="C248" s="646" t="s">
        <v>178</v>
      </c>
    </row>
    <row r="249" spans="1:3" ht="15.6" hidden="1" customHeight="1">
      <c r="A249" s="640" t="str">
        <f>IF('[2]Memória de Cálculo'!A566&gt;0,'[2]Memória de Cálculo'!A566,"")</f>
        <v>4.2</v>
      </c>
      <c r="B249" s="641">
        <v>60103</v>
      </c>
      <c r="C249" s="646" t="s">
        <v>179</v>
      </c>
    </row>
    <row r="250" spans="1:3" ht="55.2" customHeight="1">
      <c r="A250" s="640"/>
      <c r="B250" s="641"/>
      <c r="C250" s="646" t="s">
        <v>4035</v>
      </c>
    </row>
    <row r="251" spans="1:3">
      <c r="A251" s="643"/>
      <c r="B251" s="643"/>
      <c r="C251" s="643"/>
    </row>
    <row r="252" spans="1:3">
      <c r="A252" s="640" t="s">
        <v>2814</v>
      </c>
      <c r="B252" s="641">
        <v>60104</v>
      </c>
      <c r="C252" s="646" t="s">
        <v>180</v>
      </c>
    </row>
    <row r="253" spans="1:3" ht="15.6" hidden="1" customHeight="1">
      <c r="A253" s="640" t="str">
        <f>IF('[2]Memória de Cálculo'!A570&gt;0,'[2]Memória de Cálculo'!A570,"")</f>
        <v/>
      </c>
      <c r="B253" s="641">
        <v>60105</v>
      </c>
      <c r="C253" s="646" t="s">
        <v>181</v>
      </c>
    </row>
    <row r="254" spans="1:3" ht="15.6" hidden="1" customHeight="1">
      <c r="A254" s="640" t="str">
        <f>IF('[2]Memória de Cálculo'!A571&gt;0,'[2]Memória de Cálculo'!A571,"")</f>
        <v/>
      </c>
      <c r="B254" s="641">
        <v>60160</v>
      </c>
      <c r="C254" s="646" t="s">
        <v>182</v>
      </c>
    </row>
    <row r="255" spans="1:3" ht="26.4" hidden="1" customHeight="1">
      <c r="A255" s="640" t="str">
        <f>IF('[2]Memória de Cálculo'!A572&gt;0,'[2]Memória de Cálculo'!A572,"")</f>
        <v/>
      </c>
      <c r="B255" s="641">
        <v>60180</v>
      </c>
      <c r="C255" s="646" t="s">
        <v>2083</v>
      </c>
    </row>
    <row r="256" spans="1:3" ht="15.6" hidden="1" customHeight="1">
      <c r="A256" s="640" t="str">
        <f>IF('[2]Memória de Cálculo'!A573&gt;0,'[2]Memória de Cálculo'!A573,"")</f>
        <v/>
      </c>
      <c r="B256" s="641">
        <v>60191</v>
      </c>
      <c r="C256" s="646" t="s">
        <v>184</v>
      </c>
    </row>
    <row r="257" spans="1:3" ht="15.6" hidden="1" customHeight="1">
      <c r="A257" s="640" t="str">
        <f>IF('[2]Memória de Cálculo'!A574&gt;0,'[2]Memória de Cálculo'!A574,"")</f>
        <v/>
      </c>
      <c r="B257" s="641">
        <v>60192</v>
      </c>
      <c r="C257" s="646" t="s">
        <v>185</v>
      </c>
    </row>
    <row r="258" spans="1:3" ht="15.6" hidden="1" customHeight="1">
      <c r="A258" s="640" t="str">
        <f>IF('[2]Memória de Cálculo'!A575&gt;0,'[2]Memória de Cálculo'!A575,"")</f>
        <v/>
      </c>
      <c r="B258" s="641">
        <v>60201</v>
      </c>
      <c r="C258" s="646" t="s">
        <v>2084</v>
      </c>
    </row>
    <row r="259" spans="1:3" ht="15.6" hidden="1" customHeight="1">
      <c r="A259" s="640" t="str">
        <f>IF('[2]Memória de Cálculo'!A576&gt;0,'[2]Memória de Cálculo'!A576,"")</f>
        <v/>
      </c>
      <c r="B259" s="641">
        <v>60202</v>
      </c>
      <c r="C259" s="646" t="s">
        <v>2085</v>
      </c>
    </row>
    <row r="260" spans="1:3" ht="15.6" hidden="1" customHeight="1">
      <c r="A260" s="640" t="str">
        <f>IF('[2]Memória de Cálculo'!A577&gt;0,'[2]Memória de Cálculo'!A577,"")</f>
        <v/>
      </c>
      <c r="B260" s="641">
        <v>60203</v>
      </c>
      <c r="C260" s="646" t="s">
        <v>2086</v>
      </c>
    </row>
    <row r="261" spans="1:3" ht="15.6" hidden="1" customHeight="1">
      <c r="A261" s="640" t="str">
        <f>IF('[2]Memória de Cálculo'!A578&gt;0,'[2]Memória de Cálculo'!A578,"")</f>
        <v/>
      </c>
      <c r="B261" s="641">
        <v>60204</v>
      </c>
      <c r="C261" s="646" t="s">
        <v>2087</v>
      </c>
    </row>
    <row r="262" spans="1:3" ht="15.6" hidden="1" customHeight="1">
      <c r="A262" s="640" t="str">
        <f>IF('[2]Memória de Cálculo'!A579&gt;0,'[2]Memória de Cálculo'!A579,"")</f>
        <v/>
      </c>
      <c r="B262" s="641">
        <v>60205</v>
      </c>
      <c r="C262" s="646" t="s">
        <v>2088</v>
      </c>
    </row>
    <row r="263" spans="1:3" ht="15.6" hidden="1" customHeight="1">
      <c r="A263" s="640" t="str">
        <f>IF('[2]Memória de Cálculo'!A580&gt;0,'[2]Memória de Cálculo'!A580,"")</f>
        <v/>
      </c>
      <c r="B263" s="641">
        <v>60206</v>
      </c>
      <c r="C263" s="646" t="s">
        <v>2089</v>
      </c>
    </row>
    <row r="264" spans="1:3" ht="15.6" hidden="1" customHeight="1">
      <c r="A264" s="640" t="str">
        <f>IF('[2]Memória de Cálculo'!A581&gt;0,'[2]Memória de Cálculo'!A581,"")</f>
        <v/>
      </c>
      <c r="B264" s="641">
        <v>60207</v>
      </c>
      <c r="C264" s="646" t="s">
        <v>2090</v>
      </c>
    </row>
    <row r="265" spans="1:3" ht="15.6" hidden="1" customHeight="1">
      <c r="A265" s="640" t="str">
        <f>IF('[2]Memória de Cálculo'!A582&gt;0,'[2]Memória de Cálculo'!A582,"")</f>
        <v/>
      </c>
      <c r="B265" s="641">
        <v>60208</v>
      </c>
      <c r="C265" s="646" t="s">
        <v>2091</v>
      </c>
    </row>
    <row r="266" spans="1:3" ht="15.6" hidden="1" customHeight="1">
      <c r="A266" s="640" t="str">
        <f>IF('[2]Memória de Cálculo'!A583&gt;0,'[2]Memória de Cálculo'!A583,"")</f>
        <v/>
      </c>
      <c r="B266" s="641">
        <v>60209</v>
      </c>
      <c r="C266" s="646" t="s">
        <v>2092</v>
      </c>
    </row>
    <row r="267" spans="1:3" ht="15.6" hidden="1" customHeight="1">
      <c r="A267" s="640" t="str">
        <f>IF('[2]Memória de Cálculo'!A584&gt;0,'[2]Memória de Cálculo'!A584,"")</f>
        <v/>
      </c>
      <c r="B267" s="641">
        <v>60210</v>
      </c>
      <c r="C267" s="646" t="s">
        <v>2093</v>
      </c>
    </row>
    <row r="268" spans="1:3" ht="15.6" hidden="1" customHeight="1">
      <c r="A268" s="640" t="str">
        <f>IF('[2]Memória de Cálculo'!A585&gt;0,'[2]Memória de Cálculo'!A585,"")</f>
        <v/>
      </c>
      <c r="B268" s="641">
        <v>60212</v>
      </c>
      <c r="C268" s="646" t="s">
        <v>2094</v>
      </c>
    </row>
    <row r="269" spans="1:3" ht="15.6" hidden="1" customHeight="1">
      <c r="A269" s="640" t="str">
        <f>IF('[2]Memória de Cálculo'!A586&gt;0,'[2]Memória de Cálculo'!A586,"")</f>
        <v/>
      </c>
      <c r="B269" s="641">
        <v>60213</v>
      </c>
      <c r="C269" s="646" t="s">
        <v>2095</v>
      </c>
    </row>
    <row r="270" spans="1:3" ht="15.6" hidden="1" customHeight="1">
      <c r="A270" s="640" t="str">
        <f>IF('[2]Memória de Cálculo'!A587&gt;0,'[2]Memória de Cálculo'!A587,"")</f>
        <v/>
      </c>
      <c r="B270" s="641">
        <v>60214</v>
      </c>
      <c r="C270" s="646" t="s">
        <v>2096</v>
      </c>
    </row>
    <row r="271" spans="1:3" ht="15.6" hidden="1" customHeight="1">
      <c r="A271" s="640" t="str">
        <f>IF('[2]Memória de Cálculo'!A588&gt;0,'[2]Memória de Cálculo'!A588,"")</f>
        <v/>
      </c>
      <c r="B271" s="641">
        <v>60302</v>
      </c>
      <c r="C271" s="646" t="s">
        <v>166</v>
      </c>
    </row>
    <row r="272" spans="1:3" ht="15.6" hidden="1" customHeight="1">
      <c r="A272" s="640" t="str">
        <f>IF('[2]Memória de Cálculo'!A589&gt;0,'[2]Memória de Cálculo'!A589,"")</f>
        <v/>
      </c>
      <c r="B272" s="641">
        <v>60303</v>
      </c>
      <c r="C272" s="646" t="s">
        <v>199</v>
      </c>
    </row>
    <row r="273" spans="1:3" ht="15.6" hidden="1" customHeight="1">
      <c r="A273" s="640" t="str">
        <f>IF('[2]Memória de Cálculo'!A590&gt;0,'[2]Memória de Cálculo'!A590,"")</f>
        <v/>
      </c>
      <c r="B273" s="641">
        <v>60304</v>
      </c>
      <c r="C273" s="646" t="s">
        <v>200</v>
      </c>
    </row>
    <row r="274" spans="1:3" ht="15.6" hidden="1" customHeight="1">
      <c r="A274" s="640" t="str">
        <f>IF('[2]Memória de Cálculo'!A591&gt;0,'[2]Memória de Cálculo'!A591,"")</f>
        <v/>
      </c>
      <c r="B274" s="641">
        <v>60305</v>
      </c>
      <c r="C274" s="646" t="s">
        <v>170</v>
      </c>
    </row>
    <row r="275" spans="1:3" ht="15.6" hidden="1" customHeight="1">
      <c r="A275" s="640" t="str">
        <f>IF('[2]Memória de Cálculo'!A592&gt;0,'[2]Memória de Cálculo'!A592,"")</f>
        <v/>
      </c>
      <c r="B275" s="641">
        <v>60306</v>
      </c>
      <c r="C275" s="646" t="s">
        <v>201</v>
      </c>
    </row>
    <row r="276" spans="1:3" ht="15.6" hidden="1" customHeight="1">
      <c r="A276" s="640" t="str">
        <f>IF('[2]Memória de Cálculo'!A593&gt;0,'[2]Memória de Cálculo'!A593,"")</f>
        <v/>
      </c>
      <c r="B276" s="641">
        <v>60307</v>
      </c>
      <c r="C276" s="646" t="s">
        <v>202</v>
      </c>
    </row>
    <row r="277" spans="1:3" ht="15.6" hidden="1" customHeight="1">
      <c r="A277" s="640" t="str">
        <f>IF('[2]Memória de Cálculo'!A594&gt;0,'[2]Memória de Cálculo'!A594,"")</f>
        <v/>
      </c>
      <c r="B277" s="641">
        <v>60308</v>
      </c>
      <c r="C277" s="646" t="s">
        <v>203</v>
      </c>
    </row>
    <row r="278" spans="1:3" ht="15.6" hidden="1" customHeight="1">
      <c r="A278" s="640" t="str">
        <f>IF('[2]Memória de Cálculo'!A595&gt;0,'[2]Memória de Cálculo'!A595,"")</f>
        <v/>
      </c>
      <c r="B278" s="641">
        <v>60310</v>
      </c>
      <c r="C278" s="646" t="s">
        <v>174</v>
      </c>
    </row>
    <row r="279" spans="1:3" ht="15.6" hidden="1" customHeight="1">
      <c r="A279" s="640" t="str">
        <f>IF('[2]Memória de Cálculo'!A596&gt;0,'[2]Memória de Cálculo'!A596,"")</f>
        <v/>
      </c>
      <c r="B279" s="641">
        <v>60312</v>
      </c>
      <c r="C279" s="646" t="s">
        <v>204</v>
      </c>
    </row>
    <row r="280" spans="1:3" ht="15.6" hidden="1" customHeight="1">
      <c r="A280" s="640" t="str">
        <f>IF('[2]Memória de Cálculo'!A597&gt;0,'[2]Memória de Cálculo'!A597,"")</f>
        <v/>
      </c>
      <c r="B280" s="641">
        <v>60314</v>
      </c>
      <c r="C280" s="646" t="s">
        <v>205</v>
      </c>
    </row>
    <row r="281" spans="1:3" ht="15.6" hidden="1" customHeight="1">
      <c r="A281" s="640" t="str">
        <f>IF('[2]Memória de Cálculo'!A598&gt;0,'[2]Memória de Cálculo'!A598,"")</f>
        <v/>
      </c>
      <c r="B281" s="641">
        <v>60470</v>
      </c>
      <c r="C281" s="646" t="s">
        <v>206</v>
      </c>
    </row>
    <row r="282" spans="1:3" ht="15.6" hidden="1" customHeight="1">
      <c r="A282" s="640" t="str">
        <f>IF('[2]Memória de Cálculo'!A599&gt;0,'[2]Memória de Cálculo'!A599,"")</f>
        <v/>
      </c>
      <c r="B282" s="641">
        <v>60486</v>
      </c>
      <c r="C282" s="646" t="s">
        <v>133</v>
      </c>
    </row>
    <row r="283" spans="1:3" ht="15.6" hidden="1" customHeight="1">
      <c r="A283" s="640" t="str">
        <f>IF('[2]Memória de Cálculo'!A600&gt;0,'[2]Memória de Cálculo'!A600,"")</f>
        <v/>
      </c>
      <c r="B283" s="641">
        <v>60487</v>
      </c>
      <c r="C283" s="646" t="s">
        <v>134</v>
      </c>
    </row>
    <row r="284" spans="1:3" ht="15.6" hidden="1" customHeight="1">
      <c r="A284" s="640" t="str">
        <f>IF('[2]Memória de Cálculo'!A601&gt;0,'[2]Memória de Cálculo'!A601,"")</f>
        <v/>
      </c>
      <c r="B284" s="641">
        <v>60505</v>
      </c>
      <c r="C284" s="646" t="s">
        <v>207</v>
      </c>
    </row>
    <row r="285" spans="1:3" ht="15.6" hidden="1" customHeight="1">
      <c r="A285" s="640" t="str">
        <f>IF('[2]Memória de Cálculo'!A602&gt;0,'[2]Memória de Cálculo'!A602,"")</f>
        <v/>
      </c>
      <c r="B285" s="641">
        <v>60507</v>
      </c>
      <c r="C285" s="646" t="s">
        <v>208</v>
      </c>
    </row>
    <row r="286" spans="1:3" ht="15.6" hidden="1" customHeight="1">
      <c r="A286" s="640" t="str">
        <f>IF('[2]Memória de Cálculo'!A603&gt;0,'[2]Memória de Cálculo'!A603,"")</f>
        <v/>
      </c>
      <c r="B286" s="641">
        <v>60510</v>
      </c>
      <c r="C286" s="646" t="s">
        <v>2097</v>
      </c>
    </row>
    <row r="287" spans="1:3" ht="15.6" hidden="1" customHeight="1">
      <c r="A287" s="640" t="str">
        <f>IF('[2]Memória de Cálculo'!A604&gt;0,'[2]Memória de Cálculo'!A604,"")</f>
        <v/>
      </c>
      <c r="B287" s="641">
        <v>60512</v>
      </c>
      <c r="C287" s="646" t="s">
        <v>2098</v>
      </c>
    </row>
    <row r="288" spans="1:3" ht="15.6" hidden="1" customHeight="1">
      <c r="A288" s="640" t="str">
        <f>IF('[2]Memória de Cálculo'!A605&gt;0,'[2]Memória de Cálculo'!A605,"")</f>
        <v/>
      </c>
      <c r="B288" s="641">
        <v>60513</v>
      </c>
      <c r="C288" s="646" t="s">
        <v>152</v>
      </c>
    </row>
    <row r="289" spans="1:3" ht="15.6" hidden="1" customHeight="1">
      <c r="A289" s="640" t="str">
        <f>IF('[2]Memória de Cálculo'!A606&gt;0,'[2]Memória de Cálculo'!A606,"")</f>
        <v/>
      </c>
      <c r="B289" s="641">
        <v>60514</v>
      </c>
      <c r="C289" s="647" t="s">
        <v>211</v>
      </c>
    </row>
    <row r="290" spans="1:3" ht="15.6" hidden="1" customHeight="1">
      <c r="A290" s="640" t="str">
        <f>IF('[2]Memória de Cálculo'!A607&gt;0,'[2]Memória de Cálculo'!A607,"")</f>
        <v/>
      </c>
      <c r="B290" s="641">
        <v>60515</v>
      </c>
      <c r="C290" s="646" t="s">
        <v>2099</v>
      </c>
    </row>
    <row r="291" spans="1:3" ht="15.6" hidden="1" customHeight="1">
      <c r="A291" s="640" t="str">
        <f>IF('[2]Memória de Cálculo'!A608&gt;0,'[2]Memória de Cálculo'!A608,"")</f>
        <v/>
      </c>
      <c r="B291" s="641">
        <v>60517</v>
      </c>
      <c r="C291" s="646" t="s">
        <v>213</v>
      </c>
    </row>
    <row r="292" spans="1:3" ht="15.6" hidden="1" customHeight="1">
      <c r="A292" s="640" t="str">
        <f>IF('[2]Memória de Cálculo'!A609&gt;0,'[2]Memória de Cálculo'!A609,"")</f>
        <v/>
      </c>
      <c r="B292" s="641">
        <v>60518</v>
      </c>
      <c r="C292" s="646" t="s">
        <v>155</v>
      </c>
    </row>
    <row r="293" spans="1:3" ht="15.6" hidden="1" customHeight="1">
      <c r="A293" s="640" t="str">
        <f>IF('[2]Memória de Cálculo'!A610&gt;0,'[2]Memória de Cálculo'!A610,"")</f>
        <v/>
      </c>
      <c r="B293" s="641">
        <v>60520</v>
      </c>
      <c r="C293" s="646" t="s">
        <v>214</v>
      </c>
    </row>
    <row r="294" spans="1:3" ht="15.6" hidden="1" customHeight="1">
      <c r="A294" s="640" t="str">
        <f>IF('[2]Memória de Cálculo'!A611&gt;0,'[2]Memória de Cálculo'!A611,"")</f>
        <v/>
      </c>
      <c r="B294" s="641">
        <v>60521</v>
      </c>
      <c r="C294" s="646" t="s">
        <v>215</v>
      </c>
    </row>
    <row r="295" spans="1:3" ht="15.6" hidden="1" customHeight="1">
      <c r="A295" s="640" t="str">
        <f>IF('[2]Memória de Cálculo'!A612&gt;0,'[2]Memória de Cálculo'!A612,"")</f>
        <v/>
      </c>
      <c r="B295" s="641">
        <v>60523</v>
      </c>
      <c r="C295" s="646" t="s">
        <v>160</v>
      </c>
    </row>
    <row r="296" spans="1:3" ht="15.6" hidden="1" customHeight="1">
      <c r="A296" s="640" t="str">
        <f>IF('[2]Memória de Cálculo'!A613&gt;0,'[2]Memória de Cálculo'!A613,"")</f>
        <v/>
      </c>
      <c r="B296" s="641">
        <v>60524</v>
      </c>
      <c r="C296" s="646" t="s">
        <v>161</v>
      </c>
    </row>
    <row r="297" spans="1:3" ht="15.6" hidden="1" customHeight="1">
      <c r="A297" s="640" t="str">
        <f>IF('[2]Memória de Cálculo'!A614&gt;0,'[2]Memória de Cálculo'!A614,"")</f>
        <v/>
      </c>
      <c r="B297" s="641">
        <v>60525</v>
      </c>
      <c r="C297" s="646" t="s">
        <v>162</v>
      </c>
    </row>
    <row r="298" spans="1:3" ht="26.4" hidden="1" customHeight="1">
      <c r="A298" s="640" t="str">
        <f>IF('[2]Memória de Cálculo'!A615&gt;0,'[2]Memória de Cálculo'!A615,"")</f>
        <v/>
      </c>
      <c r="B298" s="641">
        <v>60800</v>
      </c>
      <c r="C298" s="646" t="s">
        <v>216</v>
      </c>
    </row>
    <row r="299" spans="1:3" ht="15.6" hidden="1" customHeight="1">
      <c r="A299" s="640" t="str">
        <f>IF('[2]Memória de Cálculo'!A616&gt;0,'[2]Memória de Cálculo'!A616,"")</f>
        <v/>
      </c>
      <c r="B299" s="641">
        <v>60801</v>
      </c>
      <c r="C299" s="646" t="s">
        <v>217</v>
      </c>
    </row>
    <row r="300" spans="1:3" ht="15.6" hidden="1" customHeight="1">
      <c r="A300" s="640" t="str">
        <f>IF('[2]Memória de Cálculo'!A617&gt;0,'[2]Memória de Cálculo'!A617,"")</f>
        <v/>
      </c>
      <c r="B300" s="641">
        <v>60802</v>
      </c>
      <c r="C300" s="646" t="s">
        <v>218</v>
      </c>
    </row>
    <row r="301" spans="1:3" ht="15.6" hidden="1" customHeight="1">
      <c r="A301" s="640" t="str">
        <f>IF('[2]Memória de Cálculo'!A618&gt;0,'[2]Memória de Cálculo'!A618,"")</f>
        <v/>
      </c>
      <c r="B301" s="641">
        <v>60803</v>
      </c>
      <c r="C301" s="646" t="s">
        <v>219</v>
      </c>
    </row>
    <row r="302" spans="1:3" ht="26.4" hidden="1" customHeight="1">
      <c r="A302" s="640" t="str">
        <f>IF('[2]Memória de Cálculo'!A619&gt;0,'[2]Memória de Cálculo'!A619,"")</f>
        <v/>
      </c>
      <c r="B302" s="641">
        <v>61101</v>
      </c>
      <c r="C302" s="646" t="s">
        <v>2100</v>
      </c>
    </row>
    <row r="303" spans="1:3" ht="26.4" hidden="1" customHeight="1">
      <c r="A303" s="640" t="str">
        <f>IF('[2]Memória de Cálculo'!A620&gt;0,'[2]Memória de Cálculo'!A620,"")</f>
        <v/>
      </c>
      <c r="B303" s="641">
        <v>61102</v>
      </c>
      <c r="C303" s="646" t="s">
        <v>2101</v>
      </c>
    </row>
    <row r="304" spans="1:3" ht="15.6" hidden="1" customHeight="1">
      <c r="A304" s="640" t="str">
        <f>IF('[2]Memória de Cálculo'!A621&gt;0,'[2]Memória de Cálculo'!A621,"")</f>
        <v/>
      </c>
      <c r="B304" s="641">
        <v>61106</v>
      </c>
      <c r="C304" s="646" t="s">
        <v>222</v>
      </c>
    </row>
    <row r="305" spans="1:3" ht="15.6" hidden="1" customHeight="1">
      <c r="A305" s="640" t="str">
        <f>IF('[2]Memória de Cálculo'!A622&gt;0,'[2]Memória de Cálculo'!A622,"")</f>
        <v/>
      </c>
      <c r="B305" s="641">
        <v>61107</v>
      </c>
      <c r="C305" s="646" t="s">
        <v>223</v>
      </c>
    </row>
    <row r="306" spans="1:3" ht="15.6" hidden="1" customHeight="1">
      <c r="A306" s="640" t="str">
        <f>IF('[2]Memória de Cálculo'!A623&gt;0,'[2]Memória de Cálculo'!A623,"")</f>
        <v/>
      </c>
      <c r="B306" s="641">
        <v>61108</v>
      </c>
      <c r="C306" s="646" t="s">
        <v>224</v>
      </c>
    </row>
    <row r="307" spans="1:3" ht="26.4" hidden="1" customHeight="1">
      <c r="A307" s="640" t="e">
        <f>IF('[2]Memória de Cálculo'!#REF!&gt;0,'[2]Memória de Cálculo'!#REF!,"")</f>
        <v>#REF!</v>
      </c>
      <c r="B307" s="641">
        <v>61130</v>
      </c>
      <c r="C307" s="646" t="s">
        <v>2102</v>
      </c>
    </row>
    <row r="308" spans="1:3" ht="66">
      <c r="A308" s="640"/>
      <c r="B308" s="641"/>
      <c r="C308" s="646" t="s">
        <v>4036</v>
      </c>
    </row>
    <row r="309" spans="1:3">
      <c r="A309" s="643"/>
      <c r="B309" s="643"/>
      <c r="C309" s="643"/>
    </row>
    <row r="310" spans="1:3" ht="15.6" hidden="1" customHeight="1">
      <c r="A310" s="637"/>
      <c r="B310" s="638">
        <v>67000</v>
      </c>
      <c r="C310" s="639" t="s">
        <v>225</v>
      </c>
    </row>
    <row r="311" spans="1:3" ht="26.4" hidden="1" customHeight="1">
      <c r="A311" s="640" t="str">
        <f>IF('[2]Memória de Cálculo'!A625&gt;0,'[2]Memória de Cálculo'!A625,"")</f>
        <v/>
      </c>
      <c r="B311" s="641">
        <v>67002</v>
      </c>
      <c r="C311" s="647" t="s">
        <v>227</v>
      </c>
    </row>
    <row r="312" spans="1:3" ht="26.4" hidden="1" customHeight="1">
      <c r="A312" s="640" t="str">
        <f>IF('[2]Memória de Cálculo'!A626&gt;0,'[2]Memória de Cálculo'!A626,"")</f>
        <v/>
      </c>
      <c r="B312" s="641">
        <v>67006</v>
      </c>
      <c r="C312" s="646" t="s">
        <v>228</v>
      </c>
    </row>
    <row r="313" spans="1:3" ht="14.4" hidden="1" customHeight="1">
      <c r="A313" s="640" t="str">
        <f>IF('[2]Memória de Cálculo'!A627&gt;0,'[2]Memória de Cálculo'!A627,"")</f>
        <v/>
      </c>
      <c r="B313" s="641">
        <v>67010</v>
      </c>
      <c r="C313" s="646" t="s">
        <v>229</v>
      </c>
    </row>
    <row r="314" spans="1:3" ht="14.4" hidden="1" customHeight="1">
      <c r="A314" s="640" t="str">
        <f>IF('[2]Memória de Cálculo'!A628&gt;0,'[2]Memória de Cálculo'!A628,"")</f>
        <v/>
      </c>
      <c r="B314" s="641">
        <v>67014</v>
      </c>
      <c r="C314" s="646" t="s">
        <v>230</v>
      </c>
    </row>
    <row r="315" spans="1:3" ht="14.4" hidden="1" customHeight="1">
      <c r="A315" s="640" t="str">
        <f>IF('[2]Memória de Cálculo'!A629&gt;0,'[2]Memória de Cálculo'!A629,"")</f>
        <v/>
      </c>
      <c r="B315" s="641">
        <v>67016</v>
      </c>
      <c r="C315" s="646" t="s">
        <v>231</v>
      </c>
    </row>
    <row r="316" spans="1:3" ht="14.4" hidden="1" customHeight="1">
      <c r="A316" s="640" t="str">
        <f>IF('[2]Memória de Cálculo'!A630&gt;0,'[2]Memória de Cálculo'!A630,"")</f>
        <v/>
      </c>
      <c r="B316" s="641">
        <v>67018</v>
      </c>
      <c r="C316" s="646" t="s">
        <v>232</v>
      </c>
    </row>
    <row r="317" spans="1:3" ht="14.4" hidden="1" customHeight="1">
      <c r="A317" s="640" t="str">
        <f>IF('[2]Memória de Cálculo'!A631&gt;0,'[2]Memória de Cálculo'!A631,"")</f>
        <v/>
      </c>
      <c r="B317" s="641">
        <v>67022</v>
      </c>
      <c r="C317" s="646" t="s">
        <v>233</v>
      </c>
    </row>
    <row r="318" spans="1:3" ht="14.4" hidden="1" customHeight="1">
      <c r="A318" s="640" t="str">
        <f>IF('[2]Memória de Cálculo'!A632&gt;0,'[2]Memória de Cálculo'!A632,"")</f>
        <v/>
      </c>
      <c r="B318" s="641">
        <v>67026</v>
      </c>
      <c r="C318" s="646" t="s">
        <v>234</v>
      </c>
    </row>
    <row r="319" spans="1:3" ht="26.4" hidden="1" customHeight="1">
      <c r="A319" s="640" t="str">
        <f>IF('[2]Memória de Cálculo'!A633&gt;0,'[2]Memória de Cálculo'!A633,"")</f>
        <v/>
      </c>
      <c r="B319" s="641">
        <v>67058</v>
      </c>
      <c r="C319" s="646" t="s">
        <v>235</v>
      </c>
    </row>
    <row r="320" spans="1:3" ht="26.4" hidden="1" customHeight="1">
      <c r="A320" s="640" t="str">
        <f>IF('[2]Memória de Cálculo'!A634&gt;0,'[2]Memória de Cálculo'!A634,"")</f>
        <v/>
      </c>
      <c r="B320" s="641">
        <v>67062</v>
      </c>
      <c r="C320" s="646" t="s">
        <v>236</v>
      </c>
    </row>
    <row r="321" spans="1:3" ht="14.4" hidden="1" customHeight="1">
      <c r="A321" s="640" t="str">
        <f>IF('[2]Memória de Cálculo'!A635&gt;0,'[2]Memória de Cálculo'!A635,"")</f>
        <v/>
      </c>
      <c r="B321" s="641">
        <v>67070</v>
      </c>
      <c r="C321" s="646" t="s">
        <v>237</v>
      </c>
    </row>
    <row r="322" spans="1:3" ht="26.4" hidden="1" customHeight="1">
      <c r="A322" s="640" t="str">
        <f>IF('[2]Memória de Cálculo'!A636&gt;0,'[2]Memória de Cálculo'!A636,"")</f>
        <v/>
      </c>
      <c r="B322" s="641">
        <v>67078</v>
      </c>
      <c r="C322" s="646" t="s">
        <v>2103</v>
      </c>
    </row>
    <row r="323" spans="1:3" ht="39.6" hidden="1" customHeight="1">
      <c r="A323" s="640">
        <f>IF('[2]Memória de Cálculo'!A637&gt;0,'[2]Memória de Cálculo'!A637,"")</f>
        <v>5</v>
      </c>
      <c r="B323" s="641">
        <v>67082</v>
      </c>
      <c r="C323" s="646" t="s">
        <v>239</v>
      </c>
    </row>
    <row r="324" spans="1:3" ht="15.6">
      <c r="A324" s="637">
        <v>5</v>
      </c>
      <c r="B324" s="638">
        <v>70000</v>
      </c>
      <c r="C324" s="639" t="s">
        <v>240</v>
      </c>
    </row>
    <row r="325" spans="1:3" ht="15.6" hidden="1" customHeight="1">
      <c r="A325" s="640" t="str">
        <f>IF('[2]Memória de Cálculo'!A639&gt;0,'[2]Memória de Cálculo'!A639,"")</f>
        <v/>
      </c>
      <c r="B325" s="641">
        <v>70204</v>
      </c>
      <c r="C325" s="646" t="s">
        <v>2104</v>
      </c>
    </row>
    <row r="326" spans="1:3" ht="15.6" hidden="1" customHeight="1">
      <c r="A326" s="640" t="str">
        <f>IF('[2]Memória de Cálculo'!A640&gt;0,'[2]Memória de Cálculo'!A640,"")</f>
        <v/>
      </c>
      <c r="B326" s="641">
        <v>70207</v>
      </c>
      <c r="C326" s="646" t="s">
        <v>2105</v>
      </c>
    </row>
    <row r="327" spans="1:3" ht="15.6" hidden="1" customHeight="1">
      <c r="A327" s="640" t="str">
        <f>IF('[2]Memória de Cálculo'!A641&gt;0,'[2]Memória de Cálculo'!A641,"")</f>
        <v/>
      </c>
      <c r="B327" s="641">
        <v>70211</v>
      </c>
      <c r="C327" s="646" t="s">
        <v>243</v>
      </c>
    </row>
    <row r="328" spans="1:3" ht="15.6" hidden="1" customHeight="1">
      <c r="A328" s="640" t="str">
        <f>IF('[2]Memória de Cálculo'!A642&gt;0,'[2]Memória de Cálculo'!A642,"")</f>
        <v/>
      </c>
      <c r="B328" s="641">
        <v>70218</v>
      </c>
      <c r="C328" s="646" t="s">
        <v>2106</v>
      </c>
    </row>
    <row r="329" spans="1:3" ht="15.6" hidden="1" customHeight="1">
      <c r="A329" s="640" t="str">
        <f>IF('[2]Memória de Cálculo'!A643&gt;0,'[2]Memória de Cálculo'!A643,"")</f>
        <v/>
      </c>
      <c r="B329" s="641">
        <v>70229</v>
      </c>
      <c r="C329" s="646" t="s">
        <v>245</v>
      </c>
    </row>
    <row r="330" spans="1:3" ht="15.6" hidden="1" customHeight="1">
      <c r="A330" s="640" t="str">
        <f>IF('[2]Memória de Cálculo'!A644&gt;0,'[2]Memória de Cálculo'!A644,"")</f>
        <v/>
      </c>
      <c r="B330" s="641">
        <v>70230</v>
      </c>
      <c r="C330" s="646" t="s">
        <v>246</v>
      </c>
    </row>
    <row r="331" spans="1:3" ht="15.6" hidden="1" customHeight="1">
      <c r="A331" s="640" t="str">
        <f>IF('[2]Memória de Cálculo'!A645&gt;0,'[2]Memória de Cálculo'!A645,"")</f>
        <v/>
      </c>
      <c r="B331" s="641">
        <v>70231</v>
      </c>
      <c r="C331" s="646" t="s">
        <v>247</v>
      </c>
    </row>
    <row r="332" spans="1:3" ht="15.6" hidden="1" customHeight="1">
      <c r="A332" s="640" t="str">
        <f>IF('[2]Memória de Cálculo'!A646&gt;0,'[2]Memória de Cálculo'!A646,"")</f>
        <v/>
      </c>
      <c r="B332" s="641">
        <v>70232</v>
      </c>
      <c r="C332" s="646" t="s">
        <v>248</v>
      </c>
    </row>
    <row r="333" spans="1:3" ht="15.6" hidden="1" customHeight="1">
      <c r="A333" s="640" t="str">
        <f>IF('[2]Memória de Cálculo'!A647&gt;0,'[2]Memória de Cálculo'!A647,"")</f>
        <v/>
      </c>
      <c r="B333" s="641">
        <v>70233</v>
      </c>
      <c r="C333" s="646" t="s">
        <v>249</v>
      </c>
    </row>
    <row r="334" spans="1:3" ht="15.6" hidden="1" customHeight="1">
      <c r="A334" s="640" t="str">
        <f>IF('[2]Memória de Cálculo'!A648&gt;0,'[2]Memória de Cálculo'!A648,"")</f>
        <v/>
      </c>
      <c r="B334" s="641">
        <v>70240</v>
      </c>
      <c r="C334" s="646" t="s">
        <v>250</v>
      </c>
    </row>
    <row r="335" spans="1:3" ht="15.6" hidden="1" customHeight="1">
      <c r="A335" s="640" t="str">
        <f>IF('[2]Memória de Cálculo'!A649&gt;0,'[2]Memória de Cálculo'!A649,"")</f>
        <v/>
      </c>
      <c r="B335" s="641">
        <v>70241</v>
      </c>
      <c r="C335" s="646" t="s">
        <v>251</v>
      </c>
    </row>
    <row r="336" spans="1:3" ht="15.6" hidden="1" customHeight="1">
      <c r="A336" s="640" t="str">
        <f>IF('[2]Memória de Cálculo'!A650&gt;0,'[2]Memória de Cálculo'!A650,"")</f>
        <v/>
      </c>
      <c r="B336" s="641">
        <v>70242</v>
      </c>
      <c r="C336" s="646" t="s">
        <v>252</v>
      </c>
    </row>
    <row r="337" spans="1:3" ht="15.6" hidden="1" customHeight="1">
      <c r="A337" s="640" t="str">
        <f>IF('[2]Memória de Cálculo'!A651&gt;0,'[2]Memória de Cálculo'!A651,"")</f>
        <v/>
      </c>
      <c r="B337" s="641">
        <v>70243</v>
      </c>
      <c r="C337" s="646" t="s">
        <v>253</v>
      </c>
    </row>
    <row r="338" spans="1:3" ht="15.6" hidden="1" customHeight="1">
      <c r="A338" s="640" t="str">
        <f>IF('[2]Memória de Cálculo'!A652&gt;0,'[2]Memória de Cálculo'!A652,"")</f>
        <v>5.1</v>
      </c>
      <c r="B338" s="641">
        <v>70250</v>
      </c>
      <c r="C338" s="646" t="s">
        <v>254</v>
      </c>
    </row>
    <row r="339" spans="1:3">
      <c r="A339" s="640" t="s">
        <v>3612</v>
      </c>
      <c r="B339" s="641">
        <v>70251</v>
      </c>
      <c r="C339" s="646" t="s">
        <v>255</v>
      </c>
    </row>
    <row r="340" spans="1:3" ht="15.6" hidden="1" customHeight="1">
      <c r="A340" s="640" t="str">
        <f>IF('[2]Memória de Cálculo'!A657&gt;0,'[2]Memória de Cálculo'!A657,"")</f>
        <v/>
      </c>
      <c r="B340" s="641">
        <v>70252</v>
      </c>
      <c r="C340" s="646" t="s">
        <v>256</v>
      </c>
    </row>
    <row r="341" spans="1:3" ht="15.6" hidden="1" customHeight="1">
      <c r="A341" s="640" t="str">
        <f>IF('[2]Memória de Cálculo'!A658&gt;0,'[2]Memória de Cálculo'!A658,"")</f>
        <v/>
      </c>
      <c r="B341" s="641">
        <v>70253</v>
      </c>
      <c r="C341" s="646" t="s">
        <v>257</v>
      </c>
    </row>
    <row r="342" spans="1:3" ht="15.6" hidden="1" customHeight="1">
      <c r="A342" s="640" t="str">
        <f>IF('[2]Memória de Cálculo'!A659&gt;0,'[2]Memória de Cálculo'!A659,"")</f>
        <v>5.2</v>
      </c>
      <c r="B342" s="641">
        <v>70254</v>
      </c>
      <c r="C342" s="646" t="s">
        <v>258</v>
      </c>
    </row>
    <row r="343" spans="1:3">
      <c r="A343" s="640" t="s">
        <v>2820</v>
      </c>
      <c r="B343" s="641">
        <v>70255</v>
      </c>
      <c r="C343" s="646" t="s">
        <v>259</v>
      </c>
    </row>
    <row r="344" spans="1:3" ht="15.6" hidden="1" customHeight="1">
      <c r="A344" s="640" t="str">
        <f>IF('[2]Memória de Cálculo'!A663&gt;0,'[2]Memória de Cálculo'!A663,"")</f>
        <v/>
      </c>
      <c r="B344" s="641">
        <v>70256</v>
      </c>
      <c r="C344" s="646" t="s">
        <v>260</v>
      </c>
    </row>
    <row r="345" spans="1:3" ht="15.6" hidden="1" customHeight="1">
      <c r="A345" s="640" t="str">
        <f>IF('[2]Memória de Cálculo'!A664&gt;0,'[2]Memória de Cálculo'!A664,"")</f>
        <v/>
      </c>
      <c r="B345" s="641">
        <v>70257</v>
      </c>
      <c r="C345" s="646" t="s">
        <v>261</v>
      </c>
    </row>
    <row r="346" spans="1:3" ht="15.6" hidden="1" customHeight="1">
      <c r="A346" s="640" t="str">
        <f>IF('[2]Memória de Cálculo'!A665&gt;0,'[2]Memória de Cálculo'!A665,"")</f>
        <v/>
      </c>
      <c r="B346" s="641">
        <v>70260</v>
      </c>
      <c r="C346" s="646" t="s">
        <v>262</v>
      </c>
    </row>
    <row r="347" spans="1:3" ht="15.6" hidden="1" customHeight="1">
      <c r="A347" s="640" t="str">
        <f>IF('[2]Memória de Cálculo'!A666&gt;0,'[2]Memória de Cálculo'!A666,"")</f>
        <v/>
      </c>
      <c r="B347" s="641">
        <v>70261</v>
      </c>
      <c r="C347" s="646" t="s">
        <v>263</v>
      </c>
    </row>
    <row r="348" spans="1:3" ht="15.6" hidden="1" customHeight="1">
      <c r="A348" s="640" t="str">
        <f>IF('[2]Memória de Cálculo'!A667&gt;0,'[2]Memória de Cálculo'!A667,"")</f>
        <v/>
      </c>
      <c r="B348" s="641">
        <v>70262</v>
      </c>
      <c r="C348" s="646" t="s">
        <v>264</v>
      </c>
    </row>
    <row r="349" spans="1:3" ht="15.6" hidden="1" customHeight="1">
      <c r="A349" s="640" t="str">
        <f>IF('[2]Memória de Cálculo'!A668&gt;0,'[2]Memória de Cálculo'!A668,"")</f>
        <v/>
      </c>
      <c r="B349" s="641">
        <v>70263</v>
      </c>
      <c r="C349" s="646" t="s">
        <v>265</v>
      </c>
    </row>
    <row r="350" spans="1:3" ht="15.6" hidden="1" customHeight="1">
      <c r="A350" s="640" t="str">
        <f>IF('[2]Memória de Cálculo'!A669&gt;0,'[2]Memória de Cálculo'!A669,"")</f>
        <v/>
      </c>
      <c r="B350" s="641">
        <v>70265</v>
      </c>
      <c r="C350" s="646" t="s">
        <v>266</v>
      </c>
    </row>
    <row r="351" spans="1:3" ht="15.6" hidden="1" customHeight="1">
      <c r="A351" s="640" t="str">
        <f>IF('[2]Memória de Cálculo'!A670&gt;0,'[2]Memória de Cálculo'!A670,"")</f>
        <v/>
      </c>
      <c r="B351" s="641">
        <v>70266</v>
      </c>
      <c r="C351" s="646" t="s">
        <v>267</v>
      </c>
    </row>
    <row r="352" spans="1:3" ht="15.6" hidden="1" customHeight="1">
      <c r="A352" s="640" t="str">
        <f>IF('[2]Memória de Cálculo'!A671&gt;0,'[2]Memória de Cálculo'!A671,"")</f>
        <v/>
      </c>
      <c r="B352" s="641">
        <v>70267</v>
      </c>
      <c r="C352" s="646" t="s">
        <v>268</v>
      </c>
    </row>
    <row r="353" spans="1:3" ht="15.6" hidden="1" customHeight="1">
      <c r="A353" s="640" t="str">
        <f>IF('[2]Memória de Cálculo'!A672&gt;0,'[2]Memória de Cálculo'!A672,"")</f>
        <v/>
      </c>
      <c r="B353" s="641">
        <v>70268</v>
      </c>
      <c r="C353" s="646" t="s">
        <v>269</v>
      </c>
    </row>
    <row r="354" spans="1:3" ht="15.6" hidden="1" customHeight="1">
      <c r="A354" s="640" t="str">
        <f>IF('[2]Memória de Cálculo'!A673&gt;0,'[2]Memória de Cálculo'!A673,"")</f>
        <v/>
      </c>
      <c r="B354" s="641">
        <v>70269</v>
      </c>
      <c r="C354" s="646" t="s">
        <v>270</v>
      </c>
    </row>
    <row r="355" spans="1:3" ht="15.6" hidden="1" customHeight="1">
      <c r="A355" s="640" t="str">
        <f>IF('[2]Memória de Cálculo'!A674&gt;0,'[2]Memória de Cálculo'!A674,"")</f>
        <v/>
      </c>
      <c r="B355" s="641">
        <v>70270</v>
      </c>
      <c r="C355" s="646" t="s">
        <v>271</v>
      </c>
    </row>
    <row r="356" spans="1:3" ht="15.6" hidden="1" customHeight="1">
      <c r="A356" s="640" t="str">
        <f>IF('[2]Memória de Cálculo'!A675&gt;0,'[2]Memória de Cálculo'!A675,"")</f>
        <v/>
      </c>
      <c r="B356" s="641">
        <v>70271</v>
      </c>
      <c r="C356" s="646" t="s">
        <v>272</v>
      </c>
    </row>
    <row r="357" spans="1:3" ht="15.6" hidden="1" customHeight="1">
      <c r="A357" s="640" t="str">
        <f>IF('[2]Memória de Cálculo'!A676&gt;0,'[2]Memória de Cálculo'!A676,"")</f>
        <v/>
      </c>
      <c r="B357" s="641">
        <v>70282</v>
      </c>
      <c r="C357" s="646" t="s">
        <v>273</v>
      </c>
    </row>
    <row r="358" spans="1:3" ht="15.6" hidden="1" customHeight="1">
      <c r="A358" s="640" t="str">
        <f>IF('[2]Memória de Cálculo'!A677&gt;0,'[2]Memória de Cálculo'!A677,"")</f>
        <v/>
      </c>
      <c r="B358" s="641">
        <v>70283</v>
      </c>
      <c r="C358" s="646" t="s">
        <v>274</v>
      </c>
    </row>
    <row r="359" spans="1:3" ht="15.6" hidden="1" customHeight="1">
      <c r="A359" s="640" t="str">
        <f>IF('[2]Memória de Cálculo'!A678&gt;0,'[2]Memória de Cálculo'!A678,"")</f>
        <v/>
      </c>
      <c r="B359" s="641">
        <v>70284</v>
      </c>
      <c r="C359" s="646" t="s">
        <v>2107</v>
      </c>
    </row>
    <row r="360" spans="1:3" ht="15.6" hidden="1" customHeight="1">
      <c r="A360" s="640" t="str">
        <f>IF('[2]Memória de Cálculo'!A679&gt;0,'[2]Memória de Cálculo'!A679,"")</f>
        <v/>
      </c>
      <c r="B360" s="641">
        <v>70285</v>
      </c>
      <c r="C360" s="646" t="s">
        <v>276</v>
      </c>
    </row>
    <row r="361" spans="1:3" ht="15.6" hidden="1" customHeight="1">
      <c r="A361" s="640" t="str">
        <f>IF('[2]Memória de Cálculo'!A680&gt;0,'[2]Memória de Cálculo'!A680,"")</f>
        <v/>
      </c>
      <c r="B361" s="641">
        <v>70286</v>
      </c>
      <c r="C361" s="646" t="s">
        <v>277</v>
      </c>
    </row>
    <row r="362" spans="1:3" ht="15.6" hidden="1" customHeight="1">
      <c r="A362" s="640" t="str">
        <f>IF('[2]Memória de Cálculo'!A681&gt;0,'[2]Memória de Cálculo'!A681,"")</f>
        <v/>
      </c>
      <c r="B362" s="641">
        <v>70287</v>
      </c>
      <c r="C362" s="646" t="s">
        <v>278</v>
      </c>
    </row>
    <row r="363" spans="1:3" ht="15.6" hidden="1" customHeight="1">
      <c r="A363" s="640" t="str">
        <f>IF('[2]Memória de Cálculo'!A682&gt;0,'[2]Memória de Cálculo'!A682,"")</f>
        <v/>
      </c>
      <c r="B363" s="641">
        <v>70288</v>
      </c>
      <c r="C363" s="646" t="s">
        <v>279</v>
      </c>
    </row>
    <row r="364" spans="1:3" ht="15.6" hidden="1" customHeight="1">
      <c r="A364" s="640" t="str">
        <f>IF('[2]Memória de Cálculo'!A683&gt;0,'[2]Memória de Cálculo'!A683,"")</f>
        <v/>
      </c>
      <c r="B364" s="641">
        <v>70289</v>
      </c>
      <c r="C364" s="646" t="s">
        <v>280</v>
      </c>
    </row>
    <row r="365" spans="1:3" ht="15.6" hidden="1" customHeight="1">
      <c r="A365" s="640" t="str">
        <f>IF('[2]Memória de Cálculo'!A684&gt;0,'[2]Memória de Cálculo'!A684,"")</f>
        <v/>
      </c>
      <c r="B365" s="641">
        <v>70290</v>
      </c>
      <c r="C365" s="646" t="s">
        <v>281</v>
      </c>
    </row>
    <row r="366" spans="1:3" ht="15.6" hidden="1" customHeight="1">
      <c r="A366" s="640" t="str">
        <f>IF('[2]Memória de Cálculo'!A685&gt;0,'[2]Memória de Cálculo'!A685,"")</f>
        <v/>
      </c>
      <c r="B366" s="641">
        <v>70291</v>
      </c>
      <c r="C366" s="646" t="s">
        <v>282</v>
      </c>
    </row>
    <row r="367" spans="1:3" ht="15.6" hidden="1" customHeight="1">
      <c r="A367" s="640" t="str">
        <f>IF('[2]Memória de Cálculo'!A686&gt;0,'[2]Memória de Cálculo'!A686,"")</f>
        <v/>
      </c>
      <c r="B367" s="641">
        <v>70292</v>
      </c>
      <c r="C367" s="646" t="s">
        <v>283</v>
      </c>
    </row>
    <row r="368" spans="1:3" ht="15.6" hidden="1" customHeight="1">
      <c r="A368" s="640" t="str">
        <f>IF('[2]Memória de Cálculo'!A687&gt;0,'[2]Memória de Cálculo'!A687,"")</f>
        <v/>
      </c>
      <c r="B368" s="641">
        <v>70293</v>
      </c>
      <c r="C368" s="646" t="s">
        <v>284</v>
      </c>
    </row>
    <row r="369" spans="1:3" ht="15.6" hidden="1" customHeight="1">
      <c r="A369" s="640" t="str">
        <f>IF('[2]Memória de Cálculo'!A688&gt;0,'[2]Memória de Cálculo'!A688,"")</f>
        <v/>
      </c>
      <c r="B369" s="641">
        <v>70295</v>
      </c>
      <c r="C369" s="646" t="s">
        <v>285</v>
      </c>
    </row>
    <row r="370" spans="1:3" ht="15.6" hidden="1" customHeight="1">
      <c r="A370" s="640" t="str">
        <f>IF('[2]Memória de Cálculo'!A689&gt;0,'[2]Memória de Cálculo'!A689,"")</f>
        <v/>
      </c>
      <c r="B370" s="641">
        <v>70296</v>
      </c>
      <c r="C370" s="646" t="s">
        <v>286</v>
      </c>
    </row>
    <row r="371" spans="1:3" ht="15.6" hidden="1" customHeight="1">
      <c r="A371" s="640" t="str">
        <f>IF('[2]Memória de Cálculo'!A690&gt;0,'[2]Memória de Cálculo'!A690,"")</f>
        <v/>
      </c>
      <c r="B371" s="641">
        <v>70297</v>
      </c>
      <c r="C371" s="646" t="s">
        <v>287</v>
      </c>
    </row>
    <row r="372" spans="1:3" ht="15.6" hidden="1" customHeight="1">
      <c r="A372" s="640" t="str">
        <f>IF('[2]Memória de Cálculo'!A691&gt;0,'[2]Memória de Cálculo'!A691,"")</f>
        <v/>
      </c>
      <c r="B372" s="641">
        <v>70303</v>
      </c>
      <c r="C372" s="646" t="s">
        <v>2108</v>
      </c>
    </row>
    <row r="373" spans="1:3" ht="15.6" hidden="1" customHeight="1">
      <c r="A373" s="640" t="str">
        <f>IF('[2]Memória de Cálculo'!A692&gt;0,'[2]Memória de Cálculo'!A692,"")</f>
        <v/>
      </c>
      <c r="B373" s="641">
        <v>70305</v>
      </c>
      <c r="C373" s="646" t="s">
        <v>2109</v>
      </c>
    </row>
    <row r="374" spans="1:3" ht="15.6" hidden="1" customHeight="1">
      <c r="A374" s="640" t="str">
        <f>IF('[2]Memória de Cálculo'!A693&gt;0,'[2]Memória de Cálculo'!A693,"")</f>
        <v/>
      </c>
      <c r="B374" s="641">
        <v>70320</v>
      </c>
      <c r="C374" s="646" t="s">
        <v>290</v>
      </c>
    </row>
    <row r="375" spans="1:3" ht="15.6" hidden="1" customHeight="1">
      <c r="A375" s="640" t="str">
        <f>IF('[2]Memória de Cálculo'!A694&gt;0,'[2]Memória de Cálculo'!A694,"")</f>
        <v/>
      </c>
      <c r="B375" s="641">
        <v>70321</v>
      </c>
      <c r="C375" s="646" t="s">
        <v>291</v>
      </c>
    </row>
    <row r="376" spans="1:3" ht="15.6" hidden="1" customHeight="1">
      <c r="A376" s="640" t="str">
        <f>IF('[2]Memória de Cálculo'!A695&gt;0,'[2]Memória de Cálculo'!A695,"")</f>
        <v/>
      </c>
      <c r="B376" s="641">
        <v>70325</v>
      </c>
      <c r="C376" s="646" t="s">
        <v>292</v>
      </c>
    </row>
    <row r="377" spans="1:3" ht="15.6" hidden="1" customHeight="1">
      <c r="A377" s="640" t="str">
        <f>IF('[2]Memória de Cálculo'!A696&gt;0,'[2]Memória de Cálculo'!A696,"")</f>
        <v/>
      </c>
      <c r="B377" s="641">
        <v>70330</v>
      </c>
      <c r="C377" s="646" t="s">
        <v>293</v>
      </c>
    </row>
    <row r="378" spans="1:3" ht="15.6" hidden="1" customHeight="1">
      <c r="A378" s="640" t="str">
        <f>IF('[2]Memória de Cálculo'!A697&gt;0,'[2]Memória de Cálculo'!A697,"")</f>
        <v/>
      </c>
      <c r="B378" s="641">
        <v>70331</v>
      </c>
      <c r="C378" s="646" t="s">
        <v>294</v>
      </c>
    </row>
    <row r="379" spans="1:3" ht="15.6" hidden="1" customHeight="1">
      <c r="A379" s="640" t="str">
        <f>IF('[2]Memória de Cálculo'!A698&gt;0,'[2]Memória de Cálculo'!A698,"")</f>
        <v>5.3</v>
      </c>
      <c r="B379" s="641">
        <v>70335</v>
      </c>
      <c r="C379" s="646" t="s">
        <v>295</v>
      </c>
    </row>
    <row r="380" spans="1:3">
      <c r="A380" s="640" t="s">
        <v>2821</v>
      </c>
      <c r="B380" s="641">
        <v>70350</v>
      </c>
      <c r="C380" s="646" t="s">
        <v>296</v>
      </c>
    </row>
    <row r="381" spans="1:3" ht="15.6" hidden="1" customHeight="1">
      <c r="A381" s="640" t="str">
        <f>IF('[2]Memória de Cálculo'!A702&gt;0,'[2]Memória de Cálculo'!A702,"")</f>
        <v/>
      </c>
      <c r="B381" s="641">
        <v>70351</v>
      </c>
      <c r="C381" s="646" t="s">
        <v>297</v>
      </c>
    </row>
    <row r="382" spans="1:3" ht="15.6" hidden="1" customHeight="1">
      <c r="A382" s="640" t="str">
        <f>IF('[2]Memória de Cálculo'!A703&gt;0,'[2]Memória de Cálculo'!A703,"")</f>
        <v/>
      </c>
      <c r="B382" s="641">
        <v>70352</v>
      </c>
      <c r="C382" s="646" t="s">
        <v>298</v>
      </c>
    </row>
    <row r="383" spans="1:3" ht="15.6" hidden="1" customHeight="1">
      <c r="A383" s="640" t="str">
        <f>IF('[2]Memória de Cálculo'!A704&gt;0,'[2]Memória de Cálculo'!A704,"")</f>
        <v/>
      </c>
      <c r="B383" s="641">
        <v>70353</v>
      </c>
      <c r="C383" s="646" t="s">
        <v>299</v>
      </c>
    </row>
    <row r="384" spans="1:3" ht="15.6" hidden="1" customHeight="1">
      <c r="A384" s="640" t="str">
        <f>IF('[2]Memória de Cálculo'!A705&gt;0,'[2]Memória de Cálculo'!A705,"")</f>
        <v/>
      </c>
      <c r="B384" s="641">
        <v>70354</v>
      </c>
      <c r="C384" s="646" t="s">
        <v>300</v>
      </c>
    </row>
    <row r="385" spans="1:3" ht="15.6" hidden="1" customHeight="1">
      <c r="A385" s="640" t="str">
        <f>IF('[2]Memória de Cálculo'!A706&gt;0,'[2]Memória de Cálculo'!A706,"")</f>
        <v/>
      </c>
      <c r="B385" s="641">
        <v>70355</v>
      </c>
      <c r="C385" s="646" t="s">
        <v>301</v>
      </c>
    </row>
    <row r="386" spans="1:3" ht="15.6" hidden="1" customHeight="1">
      <c r="A386" s="640" t="str">
        <f>IF('[2]Memória de Cálculo'!A707&gt;0,'[2]Memória de Cálculo'!A707,"")</f>
        <v/>
      </c>
      <c r="B386" s="641">
        <v>70356</v>
      </c>
      <c r="C386" s="646" t="s">
        <v>302</v>
      </c>
    </row>
    <row r="387" spans="1:3" ht="15.6" hidden="1" customHeight="1">
      <c r="A387" s="640" t="str">
        <f>IF('[2]Memória de Cálculo'!A708&gt;0,'[2]Memória de Cálculo'!A708,"")</f>
        <v/>
      </c>
      <c r="B387" s="641">
        <v>70357</v>
      </c>
      <c r="C387" s="646" t="s">
        <v>303</v>
      </c>
    </row>
    <row r="388" spans="1:3" ht="15.6" hidden="1" customHeight="1">
      <c r="A388" s="640" t="str">
        <f>IF('[2]Memória de Cálculo'!A709&gt;0,'[2]Memória de Cálculo'!A709,"")</f>
        <v/>
      </c>
      <c r="B388" s="641">
        <v>70358</v>
      </c>
      <c r="C388" s="646" t="s">
        <v>304</v>
      </c>
    </row>
    <row r="389" spans="1:3" ht="15.6" hidden="1" customHeight="1">
      <c r="A389" s="640" t="str">
        <f>IF('[2]Memória de Cálculo'!A710&gt;0,'[2]Memória de Cálculo'!A710,"")</f>
        <v/>
      </c>
      <c r="B389" s="641">
        <v>70370</v>
      </c>
      <c r="C389" s="646" t="s">
        <v>305</v>
      </c>
    </row>
    <row r="390" spans="1:3" ht="15.6" hidden="1" customHeight="1">
      <c r="A390" s="640" t="str">
        <f>IF('[2]Memória de Cálculo'!A711&gt;0,'[2]Memória de Cálculo'!A711,"")</f>
        <v/>
      </c>
      <c r="B390" s="641">
        <v>70371</v>
      </c>
      <c r="C390" s="646" t="s">
        <v>306</v>
      </c>
    </row>
    <row r="391" spans="1:3">
      <c r="A391" s="640" t="s">
        <v>3613</v>
      </c>
      <c r="B391" s="641">
        <v>70372</v>
      </c>
      <c r="C391" s="646" t="s">
        <v>307</v>
      </c>
    </row>
    <row r="392" spans="1:3" ht="15.6" hidden="1" customHeight="1">
      <c r="A392" s="640" t="str">
        <f>IF('[2]Memória de Cálculo'!A717&gt;0,'[2]Memória de Cálculo'!A717,"")</f>
        <v>5.5</v>
      </c>
      <c r="B392" s="641">
        <v>70373</v>
      </c>
      <c r="C392" s="646" t="s">
        <v>308</v>
      </c>
    </row>
    <row r="393" spans="1:3">
      <c r="A393" s="640" t="s">
        <v>3614</v>
      </c>
      <c r="B393" s="641">
        <v>70374</v>
      </c>
      <c r="C393" s="646" t="s">
        <v>309</v>
      </c>
    </row>
    <row r="394" spans="1:3" ht="15.6" hidden="1" customHeight="1">
      <c r="A394" s="640" t="str">
        <f>IF('[2]Memória de Cálculo'!A721&gt;0,'[2]Memória de Cálculo'!A721,"")</f>
        <v/>
      </c>
      <c r="B394" s="641">
        <v>70375</v>
      </c>
      <c r="C394" s="646" t="s">
        <v>310</v>
      </c>
    </row>
    <row r="395" spans="1:3" ht="15.6" hidden="1" customHeight="1">
      <c r="A395" s="640" t="str">
        <f>IF('[2]Memória de Cálculo'!A722&gt;0,'[2]Memória de Cálculo'!A722,"")</f>
        <v/>
      </c>
      <c r="B395" s="641">
        <v>70376</v>
      </c>
      <c r="C395" s="646" t="s">
        <v>311</v>
      </c>
    </row>
    <row r="396" spans="1:3" ht="15.6" hidden="1" customHeight="1">
      <c r="A396" s="640" t="str">
        <f>IF('[2]Memória de Cálculo'!A723&gt;0,'[2]Memória de Cálculo'!A723,"")</f>
        <v/>
      </c>
      <c r="B396" s="641">
        <v>70377</v>
      </c>
      <c r="C396" s="646" t="s">
        <v>312</v>
      </c>
    </row>
    <row r="397" spans="1:3" ht="15.6" hidden="1" customHeight="1">
      <c r="A397" s="640" t="str">
        <f>IF('[2]Memória de Cálculo'!A724&gt;0,'[2]Memória de Cálculo'!A724,"")</f>
        <v/>
      </c>
      <c r="B397" s="641">
        <v>70378</v>
      </c>
      <c r="C397" s="646" t="s">
        <v>313</v>
      </c>
    </row>
    <row r="398" spans="1:3" ht="15.6" hidden="1" customHeight="1">
      <c r="A398" s="640" t="str">
        <f>IF('[2]Memória de Cálculo'!A725&gt;0,'[2]Memória de Cálculo'!A725,"")</f>
        <v/>
      </c>
      <c r="B398" s="641">
        <v>70379</v>
      </c>
      <c r="C398" s="646" t="s">
        <v>314</v>
      </c>
    </row>
    <row r="399" spans="1:3" ht="15.6" hidden="1" customHeight="1">
      <c r="A399" s="640" t="str">
        <f>IF('[2]Memória de Cálculo'!A726&gt;0,'[2]Memória de Cálculo'!A726,"")</f>
        <v/>
      </c>
      <c r="B399" s="641">
        <v>70380</v>
      </c>
      <c r="C399" s="646" t="s">
        <v>2110</v>
      </c>
    </row>
    <row r="400" spans="1:3" ht="15.6" hidden="1" customHeight="1">
      <c r="A400" s="640" t="str">
        <f>IF('[2]Memória de Cálculo'!A727&gt;0,'[2]Memória de Cálculo'!A727,"")</f>
        <v>5.6</v>
      </c>
      <c r="B400" s="641">
        <v>70386</v>
      </c>
      <c r="C400" s="646" t="s">
        <v>316</v>
      </c>
    </row>
    <row r="401" spans="1:3">
      <c r="A401" s="640" t="s">
        <v>3615</v>
      </c>
      <c r="B401" s="641">
        <v>70390</v>
      </c>
      <c r="C401" s="646" t="s">
        <v>317</v>
      </c>
    </row>
    <row r="402" spans="1:3">
      <c r="A402" s="640" t="s">
        <v>3616</v>
      </c>
      <c r="B402" s="641">
        <v>70391</v>
      </c>
      <c r="C402" s="646" t="s">
        <v>318</v>
      </c>
    </row>
    <row r="403" spans="1:3" ht="15.6" hidden="1" customHeight="1">
      <c r="A403" s="640"/>
      <c r="B403" s="641">
        <v>70392</v>
      </c>
      <c r="C403" s="646" t="s">
        <v>319</v>
      </c>
    </row>
    <row r="404" spans="1:3" ht="15.6" hidden="1" customHeight="1">
      <c r="A404" s="640"/>
      <c r="B404" s="641">
        <v>70393</v>
      </c>
      <c r="C404" s="646" t="s">
        <v>320</v>
      </c>
    </row>
    <row r="405" spans="1:3" ht="15.6" hidden="1" customHeight="1">
      <c r="A405" s="640"/>
      <c r="B405" s="641">
        <v>70394</v>
      </c>
      <c r="C405" s="646" t="s">
        <v>321</v>
      </c>
    </row>
    <row r="406" spans="1:3" ht="15.6" hidden="1" customHeight="1">
      <c r="A406" s="640"/>
      <c r="B406" s="641">
        <v>70420</v>
      </c>
      <c r="C406" s="646" t="s">
        <v>322</v>
      </c>
    </row>
    <row r="407" spans="1:3" ht="15.6" hidden="1" customHeight="1">
      <c r="A407" s="640"/>
      <c r="B407" s="641">
        <v>70421</v>
      </c>
      <c r="C407" s="646" t="s">
        <v>324</v>
      </c>
    </row>
    <row r="408" spans="1:3" ht="15.6" hidden="1" customHeight="1">
      <c r="A408" s="640"/>
      <c r="B408" s="641">
        <v>70422</v>
      </c>
      <c r="C408" s="646" t="s">
        <v>325</v>
      </c>
    </row>
    <row r="409" spans="1:3" ht="15.6" hidden="1" customHeight="1">
      <c r="A409" s="640"/>
      <c r="B409" s="641">
        <v>70423</v>
      </c>
      <c r="C409" s="646" t="s">
        <v>326</v>
      </c>
    </row>
    <row r="410" spans="1:3" ht="15.6" hidden="1" customHeight="1">
      <c r="A410" s="640"/>
      <c r="B410" s="641">
        <v>70424</v>
      </c>
      <c r="C410" s="646" t="s">
        <v>327</v>
      </c>
    </row>
    <row r="411" spans="1:3" ht="15.6" hidden="1" customHeight="1">
      <c r="A411" s="640"/>
      <c r="B411" s="641">
        <v>70425</v>
      </c>
      <c r="C411" s="646" t="s">
        <v>328</v>
      </c>
    </row>
    <row r="412" spans="1:3" ht="15.6" hidden="1" customHeight="1">
      <c r="A412" s="640"/>
      <c r="B412" s="641">
        <v>70426</v>
      </c>
      <c r="C412" s="646" t="s">
        <v>329</v>
      </c>
    </row>
    <row r="413" spans="1:3" ht="15.6" hidden="1" customHeight="1">
      <c r="A413" s="640"/>
      <c r="B413" s="641">
        <v>70427</v>
      </c>
      <c r="C413" s="646" t="s">
        <v>330</v>
      </c>
    </row>
    <row r="414" spans="1:3" ht="15.6" hidden="1" customHeight="1">
      <c r="A414" s="640"/>
      <c r="B414" s="641">
        <v>70428</v>
      </c>
      <c r="C414" s="646" t="s">
        <v>331</v>
      </c>
    </row>
    <row r="415" spans="1:3" ht="15.6" hidden="1" customHeight="1">
      <c r="A415" s="640"/>
      <c r="B415" s="641">
        <v>70450</v>
      </c>
      <c r="C415" s="646" t="s">
        <v>2111</v>
      </c>
    </row>
    <row r="416" spans="1:3" ht="15.6" hidden="1" customHeight="1">
      <c r="A416" s="640"/>
      <c r="B416" s="641">
        <v>70451</v>
      </c>
      <c r="C416" s="646" t="s">
        <v>2112</v>
      </c>
    </row>
    <row r="417" spans="1:3" ht="15.6" hidden="1" customHeight="1">
      <c r="A417" s="640"/>
      <c r="B417" s="641">
        <v>70452</v>
      </c>
      <c r="C417" s="646" t="s">
        <v>2113</v>
      </c>
    </row>
    <row r="418" spans="1:3" ht="15.6" hidden="1" customHeight="1">
      <c r="A418" s="640"/>
      <c r="B418" s="641">
        <v>70500</v>
      </c>
      <c r="C418" s="646" t="s">
        <v>335</v>
      </c>
    </row>
    <row r="419" spans="1:3" ht="15.6" hidden="1" customHeight="1">
      <c r="A419" s="640"/>
      <c r="B419" s="641">
        <v>70501</v>
      </c>
      <c r="C419" s="646" t="s">
        <v>336</v>
      </c>
    </row>
    <row r="420" spans="1:3" ht="15.6" hidden="1" customHeight="1">
      <c r="A420" s="640"/>
      <c r="B420" s="641">
        <v>70502</v>
      </c>
      <c r="C420" s="646" t="s">
        <v>337</v>
      </c>
    </row>
    <row r="421" spans="1:3" ht="15.6" hidden="1" customHeight="1">
      <c r="A421" s="640"/>
      <c r="B421" s="641">
        <v>70503</v>
      </c>
      <c r="C421" s="646" t="s">
        <v>338</v>
      </c>
    </row>
    <row r="422" spans="1:3" ht="15.6" hidden="1" customHeight="1">
      <c r="A422" s="640"/>
      <c r="B422" s="641">
        <v>70504</v>
      </c>
      <c r="C422" s="646" t="s">
        <v>339</v>
      </c>
    </row>
    <row r="423" spans="1:3" ht="15.6" hidden="1" customHeight="1">
      <c r="A423" s="640"/>
      <c r="B423" s="641">
        <v>70505</v>
      </c>
      <c r="C423" s="646" t="s">
        <v>340</v>
      </c>
    </row>
    <row r="424" spans="1:3" ht="15.6" hidden="1" customHeight="1">
      <c r="A424" s="640"/>
      <c r="B424" s="641">
        <v>70506</v>
      </c>
      <c r="C424" s="646" t="s">
        <v>341</v>
      </c>
    </row>
    <row r="425" spans="1:3" ht="15.6" hidden="1" customHeight="1">
      <c r="A425" s="640"/>
      <c r="B425" s="641">
        <v>70507</v>
      </c>
      <c r="C425" s="646" t="s">
        <v>342</v>
      </c>
    </row>
    <row r="426" spans="1:3" ht="15.6" hidden="1" customHeight="1">
      <c r="A426" s="640"/>
      <c r="B426" s="641">
        <v>70509</v>
      </c>
      <c r="C426" s="646" t="s">
        <v>343</v>
      </c>
    </row>
    <row r="427" spans="1:3" ht="15.6" hidden="1" customHeight="1">
      <c r="A427" s="640"/>
      <c r="B427" s="641">
        <v>70510</v>
      </c>
      <c r="C427" s="646" t="s">
        <v>2115</v>
      </c>
    </row>
    <row r="428" spans="1:3" ht="15.6" hidden="1" customHeight="1">
      <c r="A428" s="640"/>
      <c r="B428" s="641">
        <v>70511</v>
      </c>
      <c r="C428" s="646" t="s">
        <v>2116</v>
      </c>
    </row>
    <row r="429" spans="1:3" ht="15.6" hidden="1" customHeight="1">
      <c r="A429" s="640"/>
      <c r="B429" s="641">
        <v>70512</v>
      </c>
      <c r="C429" s="646" t="s">
        <v>346</v>
      </c>
    </row>
    <row r="430" spans="1:3" ht="15.6" hidden="1" customHeight="1">
      <c r="A430" s="640"/>
      <c r="B430" s="641">
        <v>70513</v>
      </c>
      <c r="C430" s="646" t="s">
        <v>2117</v>
      </c>
    </row>
    <row r="431" spans="1:3" ht="15.6" hidden="1" customHeight="1">
      <c r="A431" s="640"/>
      <c r="B431" s="641">
        <v>70514</v>
      </c>
      <c r="C431" s="646" t="s">
        <v>348</v>
      </c>
    </row>
    <row r="432" spans="1:3" ht="15.6" hidden="1" customHeight="1">
      <c r="A432" s="640"/>
      <c r="B432" s="641">
        <v>70515</v>
      </c>
      <c r="C432" s="646" t="s">
        <v>2118</v>
      </c>
    </row>
    <row r="433" spans="1:3" ht="15.6" hidden="1" customHeight="1">
      <c r="A433" s="640"/>
      <c r="B433" s="641">
        <v>70516</v>
      </c>
      <c r="C433" s="646" t="s">
        <v>2119</v>
      </c>
    </row>
    <row r="434" spans="1:3" ht="15.6" hidden="1" customHeight="1">
      <c r="A434" s="640"/>
      <c r="B434" s="641">
        <v>70517</v>
      </c>
      <c r="C434" s="646" t="s">
        <v>2120</v>
      </c>
    </row>
    <row r="435" spans="1:3" ht="15.6" hidden="1" customHeight="1">
      <c r="A435" s="640"/>
      <c r="B435" s="641">
        <v>70518</v>
      </c>
      <c r="C435" s="646" t="s">
        <v>352</v>
      </c>
    </row>
    <row r="436" spans="1:3" ht="15.6" hidden="1" customHeight="1">
      <c r="A436" s="640"/>
      <c r="B436" s="641">
        <v>70519</v>
      </c>
      <c r="C436" s="646" t="s">
        <v>353</v>
      </c>
    </row>
    <row r="437" spans="1:3" ht="15.6" hidden="1" customHeight="1">
      <c r="A437" s="640"/>
      <c r="B437" s="641">
        <v>70520</v>
      </c>
      <c r="C437" s="646" t="s">
        <v>354</v>
      </c>
    </row>
    <row r="438" spans="1:3" ht="15.6" hidden="1" customHeight="1">
      <c r="A438" s="640"/>
      <c r="B438" s="641">
        <v>70525</v>
      </c>
      <c r="C438" s="646" t="s">
        <v>2121</v>
      </c>
    </row>
    <row r="439" spans="1:3" ht="15.6" hidden="1" customHeight="1">
      <c r="A439" s="640"/>
      <c r="B439" s="641">
        <v>70531</v>
      </c>
      <c r="C439" s="646" t="s">
        <v>356</v>
      </c>
    </row>
    <row r="440" spans="1:3" ht="15.6" hidden="1" customHeight="1">
      <c r="A440" s="640"/>
      <c r="B440" s="641">
        <v>70533</v>
      </c>
      <c r="C440" s="646" t="s">
        <v>357</v>
      </c>
    </row>
    <row r="441" spans="1:3" ht="15.6" hidden="1" customHeight="1">
      <c r="A441" s="640"/>
      <c r="B441" s="641">
        <v>70534</v>
      </c>
      <c r="C441" s="646" t="s">
        <v>358</v>
      </c>
    </row>
    <row r="442" spans="1:3" ht="15.6" hidden="1" customHeight="1">
      <c r="A442" s="640"/>
      <c r="B442" s="641">
        <v>70535</v>
      </c>
      <c r="C442" s="646" t="s">
        <v>359</v>
      </c>
    </row>
    <row r="443" spans="1:3" ht="15.6" hidden="1" customHeight="1">
      <c r="A443" s="640"/>
      <c r="B443" s="641">
        <v>70536</v>
      </c>
      <c r="C443" s="646" t="s">
        <v>360</v>
      </c>
    </row>
    <row r="444" spans="1:3" ht="15.6" hidden="1" customHeight="1">
      <c r="A444" s="640"/>
      <c r="B444" s="641">
        <v>70537</v>
      </c>
      <c r="C444" s="646" t="s">
        <v>361</v>
      </c>
    </row>
    <row r="445" spans="1:3" ht="15.6" hidden="1" customHeight="1">
      <c r="A445" s="640"/>
      <c r="B445" s="641">
        <v>70540</v>
      </c>
      <c r="C445" s="646" t="s">
        <v>2122</v>
      </c>
    </row>
    <row r="446" spans="1:3" ht="15.6" hidden="1" customHeight="1">
      <c r="A446" s="640"/>
      <c r="B446" s="641">
        <v>70541</v>
      </c>
      <c r="C446" s="646" t="s">
        <v>2123</v>
      </c>
    </row>
    <row r="447" spans="1:3">
      <c r="A447" s="640" t="s">
        <v>3617</v>
      </c>
      <c r="B447" s="641">
        <v>70542</v>
      </c>
      <c r="C447" s="646" t="s">
        <v>2124</v>
      </c>
    </row>
    <row r="448" spans="1:3" ht="15.6" hidden="1" customHeight="1">
      <c r="A448" s="640"/>
      <c r="B448" s="641">
        <v>70543</v>
      </c>
      <c r="C448" s="646" t="s">
        <v>2125</v>
      </c>
    </row>
    <row r="449" spans="1:3" ht="15.6" hidden="1" customHeight="1">
      <c r="A449" s="640"/>
      <c r="B449" s="641">
        <v>70544</v>
      </c>
      <c r="C449" s="646" t="s">
        <v>2126</v>
      </c>
    </row>
    <row r="450" spans="1:3" ht="15.6" hidden="1" customHeight="1">
      <c r="A450" s="640"/>
      <c r="B450" s="641">
        <v>70545</v>
      </c>
      <c r="C450" s="646" t="s">
        <v>2127</v>
      </c>
    </row>
    <row r="451" spans="1:3" ht="15.6" hidden="1" customHeight="1">
      <c r="A451" s="640"/>
      <c r="B451" s="641">
        <v>70546</v>
      </c>
      <c r="C451" s="646" t="s">
        <v>2128</v>
      </c>
    </row>
    <row r="452" spans="1:3" ht="15.6" hidden="1" customHeight="1">
      <c r="A452" s="640"/>
      <c r="B452" s="641">
        <v>70555</v>
      </c>
      <c r="C452" s="646" t="s">
        <v>369</v>
      </c>
    </row>
    <row r="453" spans="1:3" ht="15.6" hidden="1" customHeight="1">
      <c r="A453" s="640"/>
      <c r="B453" s="641">
        <v>70556</v>
      </c>
      <c r="C453" s="646" t="s">
        <v>370</v>
      </c>
    </row>
    <row r="454" spans="1:3" ht="15.6" hidden="1" customHeight="1">
      <c r="A454" s="640"/>
      <c r="B454" s="641">
        <v>70557</v>
      </c>
      <c r="C454" s="646" t="s">
        <v>2129</v>
      </c>
    </row>
    <row r="455" spans="1:3" ht="15.6" hidden="1" customHeight="1">
      <c r="A455" s="640"/>
      <c r="B455" s="641">
        <v>70560</v>
      </c>
      <c r="C455" s="646" t="s">
        <v>372</v>
      </c>
    </row>
    <row r="456" spans="1:3" ht="15.6" hidden="1" customHeight="1">
      <c r="A456" s="640"/>
      <c r="B456" s="641">
        <v>70561</v>
      </c>
      <c r="C456" s="646" t="s">
        <v>373</v>
      </c>
    </row>
    <row r="457" spans="1:3">
      <c r="A457" s="640" t="s">
        <v>3619</v>
      </c>
      <c r="B457" s="641">
        <v>70563</v>
      </c>
      <c r="C457" s="646" t="s">
        <v>2130</v>
      </c>
    </row>
    <row r="458" spans="1:3">
      <c r="A458" s="640" t="s">
        <v>3620</v>
      </c>
      <c r="B458" s="641">
        <v>70564</v>
      </c>
      <c r="C458" s="646" t="s">
        <v>2131</v>
      </c>
    </row>
    <row r="459" spans="1:3" ht="15.6" hidden="1" customHeight="1">
      <c r="A459" s="640"/>
      <c r="B459" s="641">
        <v>70565</v>
      </c>
      <c r="C459" s="646" t="s">
        <v>2132</v>
      </c>
    </row>
    <row r="460" spans="1:3" ht="15.6" hidden="1" customHeight="1">
      <c r="A460" s="640"/>
      <c r="B460" s="641">
        <v>70570</v>
      </c>
      <c r="C460" s="646" t="s">
        <v>2133</v>
      </c>
    </row>
    <row r="461" spans="1:3" ht="15.6" hidden="1" customHeight="1">
      <c r="A461" s="640"/>
      <c r="B461" s="641">
        <v>70571</v>
      </c>
      <c r="C461" s="646" t="s">
        <v>2134</v>
      </c>
    </row>
    <row r="462" spans="1:3" ht="15.6" hidden="1" customHeight="1">
      <c r="A462" s="640"/>
      <c r="B462" s="641">
        <v>70572</v>
      </c>
      <c r="C462" s="646" t="s">
        <v>2135</v>
      </c>
    </row>
    <row r="463" spans="1:3" ht="15.6" hidden="1" customHeight="1">
      <c r="A463" s="640"/>
      <c r="B463" s="641">
        <v>70573</v>
      </c>
      <c r="C463" s="646" t="s">
        <v>2136</v>
      </c>
    </row>
    <row r="464" spans="1:3" ht="15.6" hidden="1" customHeight="1">
      <c r="A464" s="640"/>
      <c r="B464" s="641">
        <v>70580</v>
      </c>
      <c r="C464" s="646" t="s">
        <v>2137</v>
      </c>
    </row>
    <row r="465" spans="1:3" ht="15.6" hidden="1" customHeight="1">
      <c r="A465" s="640"/>
      <c r="B465" s="641">
        <v>70581</v>
      </c>
      <c r="C465" s="646" t="s">
        <v>2138</v>
      </c>
    </row>
    <row r="466" spans="1:3" ht="15.6" hidden="1" customHeight="1">
      <c r="A466" s="640"/>
      <c r="B466" s="641">
        <v>70582</v>
      </c>
      <c r="C466" s="646" t="s">
        <v>2139</v>
      </c>
    </row>
    <row r="467" spans="1:3">
      <c r="A467" s="640" t="s">
        <v>3621</v>
      </c>
      <c r="B467" s="641">
        <v>70583</v>
      </c>
      <c r="C467" s="646" t="s">
        <v>2140</v>
      </c>
    </row>
    <row r="468" spans="1:3" ht="15.6" hidden="1" customHeight="1">
      <c r="A468" s="640"/>
      <c r="B468" s="641">
        <v>70584</v>
      </c>
      <c r="C468" s="646" t="s">
        <v>2141</v>
      </c>
    </row>
    <row r="469" spans="1:3">
      <c r="A469" s="640" t="s">
        <v>3622</v>
      </c>
      <c r="B469" s="641">
        <v>70585</v>
      </c>
      <c r="C469" s="646" t="s">
        <v>2142</v>
      </c>
    </row>
    <row r="470" spans="1:3">
      <c r="A470" s="640" t="s">
        <v>3623</v>
      </c>
      <c r="B470" s="641">
        <v>70586</v>
      </c>
      <c r="C470" s="646" t="s">
        <v>2143</v>
      </c>
    </row>
    <row r="471" spans="1:3" ht="15.6" hidden="1" customHeight="1">
      <c r="A471" s="640"/>
      <c r="B471" s="641">
        <v>70587</v>
      </c>
      <c r="C471" s="646" t="s">
        <v>2144</v>
      </c>
    </row>
    <row r="472" spans="1:3" ht="15.6" hidden="1" customHeight="1">
      <c r="A472" s="640"/>
      <c r="B472" s="641">
        <v>70588</v>
      </c>
      <c r="C472" s="646" t="s">
        <v>2145</v>
      </c>
    </row>
    <row r="473" spans="1:3" ht="15.6" hidden="1" customHeight="1">
      <c r="A473" s="640"/>
      <c r="B473" s="641">
        <v>70589</v>
      </c>
      <c r="C473" s="646" t="s">
        <v>2146</v>
      </c>
    </row>
    <row r="474" spans="1:3" ht="15.6" hidden="1" customHeight="1">
      <c r="A474" s="640"/>
      <c r="B474" s="641">
        <v>70590</v>
      </c>
      <c r="C474" s="646" t="s">
        <v>2147</v>
      </c>
    </row>
    <row r="475" spans="1:3" ht="15.6" hidden="1" customHeight="1">
      <c r="A475" s="640"/>
      <c r="B475" s="641">
        <v>70591</v>
      </c>
      <c r="C475" s="646" t="s">
        <v>2148</v>
      </c>
    </row>
    <row r="476" spans="1:3" ht="15.6" hidden="1" customHeight="1">
      <c r="A476" s="640"/>
      <c r="B476" s="641">
        <v>70592</v>
      </c>
      <c r="C476" s="646" t="s">
        <v>2149</v>
      </c>
    </row>
    <row r="477" spans="1:3" ht="15.6" hidden="1" customHeight="1">
      <c r="A477" s="640"/>
      <c r="B477" s="641">
        <v>70593</v>
      </c>
      <c r="C477" s="646" t="s">
        <v>2150</v>
      </c>
    </row>
    <row r="478" spans="1:3" ht="15.6" hidden="1" customHeight="1">
      <c r="A478" s="640"/>
      <c r="B478" s="641">
        <v>70594</v>
      </c>
      <c r="C478" s="646" t="s">
        <v>2151</v>
      </c>
    </row>
    <row r="479" spans="1:3" ht="15.6" hidden="1" customHeight="1">
      <c r="A479" s="640"/>
      <c r="B479" s="641">
        <v>70601</v>
      </c>
      <c r="C479" s="646" t="s">
        <v>396</v>
      </c>
    </row>
    <row r="480" spans="1:3" ht="15.6" hidden="1" customHeight="1">
      <c r="A480" s="640"/>
      <c r="B480" s="641">
        <v>70602</v>
      </c>
      <c r="C480" s="646" t="s">
        <v>397</v>
      </c>
    </row>
    <row r="481" spans="1:3" ht="15.6" hidden="1" customHeight="1">
      <c r="A481" s="640"/>
      <c r="B481" s="641">
        <v>70603</v>
      </c>
      <c r="C481" s="646" t="s">
        <v>398</v>
      </c>
    </row>
    <row r="482" spans="1:3" ht="15.6" hidden="1" customHeight="1">
      <c r="A482" s="640"/>
      <c r="B482" s="641">
        <v>70607</v>
      </c>
      <c r="C482" s="646" t="s">
        <v>399</v>
      </c>
    </row>
    <row r="483" spans="1:3" ht="15.6" hidden="1" customHeight="1">
      <c r="A483" s="640"/>
      <c r="B483" s="641">
        <v>70608</v>
      </c>
      <c r="C483" s="646" t="s">
        <v>400</v>
      </c>
    </row>
    <row r="484" spans="1:3" ht="15.6" hidden="1" customHeight="1">
      <c r="A484" s="640"/>
      <c r="B484" s="641">
        <v>70610</v>
      </c>
      <c r="C484" s="646" t="s">
        <v>401</v>
      </c>
    </row>
    <row r="485" spans="1:3" ht="15.6" hidden="1" customHeight="1">
      <c r="A485" s="640"/>
      <c r="B485" s="641">
        <v>70611</v>
      </c>
      <c r="C485" s="646" t="s">
        <v>402</v>
      </c>
    </row>
    <row r="486" spans="1:3" ht="15.6" hidden="1" customHeight="1">
      <c r="A486" s="640"/>
      <c r="B486" s="641">
        <v>70612</v>
      </c>
      <c r="C486" s="646" t="s">
        <v>403</v>
      </c>
    </row>
    <row r="487" spans="1:3" ht="15.6" hidden="1" customHeight="1">
      <c r="A487" s="640"/>
      <c r="B487" s="641">
        <v>70613</v>
      </c>
      <c r="C487" s="646" t="s">
        <v>404</v>
      </c>
    </row>
    <row r="488" spans="1:3" ht="15.6" hidden="1" customHeight="1">
      <c r="A488" s="640"/>
      <c r="B488" s="641">
        <v>70620</v>
      </c>
      <c r="C488" s="646" t="s">
        <v>2152</v>
      </c>
    </row>
    <row r="489" spans="1:3" ht="15.6" hidden="1" customHeight="1">
      <c r="A489" s="640"/>
      <c r="B489" s="641">
        <v>70621</v>
      </c>
      <c r="C489" s="646" t="s">
        <v>406</v>
      </c>
    </row>
    <row r="490" spans="1:3" ht="15.6" hidden="1" customHeight="1">
      <c r="A490" s="640"/>
      <c r="B490" s="641">
        <v>70622</v>
      </c>
      <c r="C490" s="646" t="s">
        <v>2153</v>
      </c>
    </row>
    <row r="491" spans="1:3" ht="15.6" hidden="1" customHeight="1">
      <c r="A491" s="640"/>
      <c r="B491" s="641">
        <v>70626</v>
      </c>
      <c r="C491" s="646" t="s">
        <v>408</v>
      </c>
    </row>
    <row r="492" spans="1:3" ht="15.6" hidden="1" customHeight="1">
      <c r="A492" s="640"/>
      <c r="B492" s="641">
        <v>70630</v>
      </c>
      <c r="C492" s="646" t="s">
        <v>409</v>
      </c>
    </row>
    <row r="493" spans="1:3" ht="15.6" hidden="1" customHeight="1">
      <c r="A493" s="640"/>
      <c r="B493" s="641">
        <v>70631</v>
      </c>
      <c r="C493" s="646" t="s">
        <v>410</v>
      </c>
    </row>
    <row r="494" spans="1:3" ht="15.6" hidden="1" customHeight="1">
      <c r="A494" s="640"/>
      <c r="B494" s="641">
        <v>70633</v>
      </c>
      <c r="C494" s="646" t="s">
        <v>411</v>
      </c>
    </row>
    <row r="495" spans="1:3" ht="15.6" hidden="1" customHeight="1">
      <c r="A495" s="640"/>
      <c r="B495" s="641">
        <v>70634</v>
      </c>
      <c r="C495" s="646" t="s">
        <v>412</v>
      </c>
    </row>
    <row r="496" spans="1:3" ht="26.4" hidden="1" customHeight="1">
      <c r="A496" s="640"/>
      <c r="B496" s="641">
        <v>70635</v>
      </c>
      <c r="C496" s="646" t="s">
        <v>413</v>
      </c>
    </row>
    <row r="497" spans="1:3" ht="26.4" hidden="1" customHeight="1">
      <c r="A497" s="640"/>
      <c r="B497" s="641">
        <v>70636</v>
      </c>
      <c r="C497" s="646" t="s">
        <v>415</v>
      </c>
    </row>
    <row r="498" spans="1:3" ht="15.6" hidden="1" customHeight="1">
      <c r="A498" s="640"/>
      <c r="B498" s="641">
        <v>70637</v>
      </c>
      <c r="C498" s="646" t="s">
        <v>416</v>
      </c>
    </row>
    <row r="499" spans="1:3" ht="15.6" hidden="1" customHeight="1">
      <c r="A499" s="640"/>
      <c r="B499" s="641">
        <v>70638</v>
      </c>
      <c r="C499" s="646" t="s">
        <v>417</v>
      </c>
    </row>
    <row r="500" spans="1:3" ht="15.6" hidden="1" customHeight="1">
      <c r="A500" s="640"/>
      <c r="B500" s="641">
        <v>70645</v>
      </c>
      <c r="C500" s="646" t="s">
        <v>418</v>
      </c>
    </row>
    <row r="501" spans="1:3" ht="15.6" hidden="1" customHeight="1">
      <c r="A501" s="640"/>
      <c r="B501" s="641">
        <v>70646</v>
      </c>
      <c r="C501" s="646" t="s">
        <v>419</v>
      </c>
    </row>
    <row r="502" spans="1:3" ht="15.6" hidden="1" customHeight="1">
      <c r="A502" s="640"/>
      <c r="B502" s="641">
        <v>70647</v>
      </c>
      <c r="C502" s="646" t="s">
        <v>420</v>
      </c>
    </row>
    <row r="503" spans="1:3" ht="15.6" hidden="1" customHeight="1">
      <c r="A503" s="640"/>
      <c r="B503" s="641">
        <v>70648</v>
      </c>
      <c r="C503" s="646" t="s">
        <v>421</v>
      </c>
    </row>
    <row r="504" spans="1:3" ht="15.6" hidden="1" customHeight="1">
      <c r="A504" s="640"/>
      <c r="B504" s="641">
        <v>70649</v>
      </c>
      <c r="C504" s="646" t="s">
        <v>422</v>
      </c>
    </row>
    <row r="505" spans="1:3" ht="15.6" hidden="1" customHeight="1">
      <c r="A505" s="640"/>
      <c r="B505" s="641">
        <v>70670</v>
      </c>
      <c r="C505" s="646" t="s">
        <v>423</v>
      </c>
    </row>
    <row r="506" spans="1:3" ht="15.6" hidden="1" customHeight="1">
      <c r="A506" s="640"/>
      <c r="B506" s="641">
        <v>70671</v>
      </c>
      <c r="C506" s="646" t="s">
        <v>424</v>
      </c>
    </row>
    <row r="507" spans="1:3" ht="15.6" hidden="1" customHeight="1">
      <c r="A507" s="640"/>
      <c r="B507" s="641">
        <v>70672</v>
      </c>
      <c r="C507" s="646" t="s">
        <v>425</v>
      </c>
    </row>
    <row r="508" spans="1:3" ht="15.6" hidden="1" customHeight="1">
      <c r="A508" s="640"/>
      <c r="B508" s="641">
        <v>70673</v>
      </c>
      <c r="C508" s="646" t="s">
        <v>426</v>
      </c>
    </row>
    <row r="509" spans="1:3" ht="15.6" hidden="1" customHeight="1">
      <c r="A509" s="640"/>
      <c r="B509" s="641">
        <v>70680</v>
      </c>
      <c r="C509" s="646" t="s">
        <v>2154</v>
      </c>
    </row>
    <row r="510" spans="1:3" ht="15.6" hidden="1" customHeight="1">
      <c r="A510" s="640"/>
      <c r="B510" s="641">
        <v>70681</v>
      </c>
      <c r="C510" s="646" t="s">
        <v>2155</v>
      </c>
    </row>
    <row r="511" spans="1:3" ht="15.6" hidden="1" customHeight="1">
      <c r="A511" s="640"/>
      <c r="B511" s="641">
        <v>70682</v>
      </c>
      <c r="C511" s="646" t="s">
        <v>2156</v>
      </c>
    </row>
    <row r="512" spans="1:3">
      <c r="A512" s="640" t="s">
        <v>3624</v>
      </c>
      <c r="B512" s="641">
        <v>70691</v>
      </c>
      <c r="C512" s="646" t="s">
        <v>430</v>
      </c>
    </row>
    <row r="513" spans="1:3">
      <c r="A513" s="640" t="s">
        <v>3625</v>
      </c>
      <c r="B513" s="641">
        <v>70692</v>
      </c>
      <c r="C513" s="646" t="s">
        <v>431</v>
      </c>
    </row>
    <row r="514" spans="1:3" ht="15.6" hidden="1" customHeight="1">
      <c r="A514" s="640"/>
      <c r="B514" s="641">
        <v>70695</v>
      </c>
      <c r="C514" s="646" t="s">
        <v>432</v>
      </c>
    </row>
    <row r="515" spans="1:3" ht="15.6" hidden="1" customHeight="1">
      <c r="A515" s="640"/>
      <c r="B515" s="641">
        <v>70696</v>
      </c>
      <c r="C515" s="646" t="s">
        <v>433</v>
      </c>
    </row>
    <row r="516" spans="1:3" ht="15.6" hidden="1" customHeight="1">
      <c r="A516" s="640"/>
      <c r="B516" s="641">
        <v>70697</v>
      </c>
      <c r="C516" s="646" t="s">
        <v>434</v>
      </c>
    </row>
    <row r="517" spans="1:3" ht="15.6" hidden="1" customHeight="1">
      <c r="A517" s="640"/>
      <c r="B517" s="641">
        <v>70698</v>
      </c>
      <c r="C517" s="646" t="s">
        <v>435</v>
      </c>
    </row>
    <row r="518" spans="1:3" ht="15.6" hidden="1" customHeight="1">
      <c r="A518" s="640"/>
      <c r="B518" s="641">
        <v>70699</v>
      </c>
      <c r="C518" s="646" t="s">
        <v>436</v>
      </c>
    </row>
    <row r="519" spans="1:3" ht="15.6" hidden="1" customHeight="1">
      <c r="A519" s="640"/>
      <c r="B519" s="641">
        <v>70700</v>
      </c>
      <c r="C519" s="646" t="s">
        <v>437</v>
      </c>
    </row>
    <row r="520" spans="1:3" ht="15.6" hidden="1" customHeight="1">
      <c r="A520" s="640"/>
      <c r="B520" s="641">
        <v>70701</v>
      </c>
      <c r="C520" s="646" t="s">
        <v>438</v>
      </c>
    </row>
    <row r="521" spans="1:3" ht="15.6" hidden="1" customHeight="1">
      <c r="A521" s="640"/>
      <c r="B521" s="641">
        <v>70702</v>
      </c>
      <c r="C521" s="646" t="s">
        <v>439</v>
      </c>
    </row>
    <row r="522" spans="1:3" ht="15.6" hidden="1" customHeight="1">
      <c r="A522" s="640"/>
      <c r="B522" s="641">
        <v>70703</v>
      </c>
      <c r="C522" s="646" t="s">
        <v>440</v>
      </c>
    </row>
    <row r="523" spans="1:3" ht="15.6" hidden="1" customHeight="1">
      <c r="A523" s="640"/>
      <c r="B523" s="641">
        <v>70705</v>
      </c>
      <c r="C523" s="646" t="s">
        <v>441</v>
      </c>
    </row>
    <row r="524" spans="1:3" ht="15.6" hidden="1" customHeight="1">
      <c r="A524" s="640"/>
      <c r="B524" s="641">
        <v>70706</v>
      </c>
      <c r="C524" s="646" t="s">
        <v>442</v>
      </c>
    </row>
    <row r="525" spans="1:3" ht="15.6" hidden="1" customHeight="1">
      <c r="A525" s="640"/>
      <c r="B525" s="641">
        <v>70707</v>
      </c>
      <c r="C525" s="646" t="s">
        <v>443</v>
      </c>
    </row>
    <row r="526" spans="1:3" ht="15.6" hidden="1" customHeight="1">
      <c r="A526" s="640"/>
      <c r="B526" s="641">
        <v>70708</v>
      </c>
      <c r="C526" s="646" t="s">
        <v>444</v>
      </c>
    </row>
    <row r="527" spans="1:3" ht="15.6" hidden="1" customHeight="1">
      <c r="A527" s="640"/>
      <c r="B527" s="641">
        <v>70709</v>
      </c>
      <c r="C527" s="646" t="s">
        <v>445</v>
      </c>
    </row>
    <row r="528" spans="1:3" ht="15.6" hidden="1" customHeight="1">
      <c r="A528" s="640"/>
      <c r="B528" s="641">
        <v>70710</v>
      </c>
      <c r="C528" s="646" t="s">
        <v>446</v>
      </c>
    </row>
    <row r="529" spans="1:3" ht="15.6" hidden="1" customHeight="1">
      <c r="A529" s="640"/>
      <c r="B529" s="641">
        <v>70711</v>
      </c>
      <c r="C529" s="646" t="s">
        <v>447</v>
      </c>
    </row>
    <row r="530" spans="1:3" ht="15.6" hidden="1" customHeight="1">
      <c r="A530" s="640"/>
      <c r="B530" s="641">
        <v>70712</v>
      </c>
      <c r="C530" s="646" t="s">
        <v>448</v>
      </c>
    </row>
    <row r="531" spans="1:3" ht="15.6" hidden="1" customHeight="1">
      <c r="A531" s="640"/>
      <c r="B531" s="641">
        <v>70713</v>
      </c>
      <c r="C531" s="646" t="s">
        <v>449</v>
      </c>
    </row>
    <row r="532" spans="1:3" ht="15.6" hidden="1" customHeight="1">
      <c r="A532" s="640"/>
      <c r="B532" s="641">
        <v>70714</v>
      </c>
      <c r="C532" s="646" t="s">
        <v>450</v>
      </c>
    </row>
    <row r="533" spans="1:3" ht="15.6" hidden="1" customHeight="1">
      <c r="A533" s="640"/>
      <c r="B533" s="641">
        <v>70715</v>
      </c>
      <c r="C533" s="646" t="s">
        <v>451</v>
      </c>
    </row>
    <row r="534" spans="1:3" ht="15.6" hidden="1" customHeight="1">
      <c r="A534" s="640"/>
      <c r="B534" s="641">
        <v>70716</v>
      </c>
      <c r="C534" s="646" t="s">
        <v>452</v>
      </c>
    </row>
    <row r="535" spans="1:3" ht="15.6" hidden="1" customHeight="1">
      <c r="A535" s="640"/>
      <c r="B535" s="641">
        <v>70717</v>
      </c>
      <c r="C535" s="646" t="s">
        <v>453</v>
      </c>
    </row>
    <row r="536" spans="1:3" ht="15.6" hidden="1" customHeight="1">
      <c r="A536" s="640"/>
      <c r="B536" s="641">
        <v>70720</v>
      </c>
      <c r="C536" s="646" t="s">
        <v>454</v>
      </c>
    </row>
    <row r="537" spans="1:3" ht="15.6" hidden="1" customHeight="1">
      <c r="A537" s="640"/>
      <c r="B537" s="641">
        <v>70725</v>
      </c>
      <c r="C537" s="646" t="s">
        <v>455</v>
      </c>
    </row>
    <row r="538" spans="1:3" ht="15.6" hidden="1" customHeight="1">
      <c r="A538" s="640"/>
      <c r="B538" s="641">
        <v>70760</v>
      </c>
      <c r="C538" s="646" t="s">
        <v>456</v>
      </c>
    </row>
    <row r="539" spans="1:3" ht="15.6" hidden="1" customHeight="1">
      <c r="A539" s="640"/>
      <c r="B539" s="641">
        <v>70762</v>
      </c>
      <c r="C539" s="646" t="s">
        <v>457</v>
      </c>
    </row>
    <row r="540" spans="1:3" ht="15.6" hidden="1" customHeight="1">
      <c r="A540" s="640"/>
      <c r="B540" s="641">
        <v>70763</v>
      </c>
      <c r="C540" s="646" t="s">
        <v>458</v>
      </c>
    </row>
    <row r="541" spans="1:3" ht="15.6" hidden="1" customHeight="1">
      <c r="A541" s="640"/>
      <c r="B541" s="641">
        <v>70764</v>
      </c>
      <c r="C541" s="646" t="s">
        <v>459</v>
      </c>
    </row>
    <row r="542" spans="1:3" ht="15.6" hidden="1" customHeight="1">
      <c r="A542" s="640"/>
      <c r="B542" s="641">
        <v>70765</v>
      </c>
      <c r="C542" s="646" t="s">
        <v>460</v>
      </c>
    </row>
    <row r="543" spans="1:3" ht="15.6" hidden="1" customHeight="1">
      <c r="A543" s="640"/>
      <c r="B543" s="641">
        <v>70769</v>
      </c>
      <c r="C543" s="646" t="s">
        <v>461</v>
      </c>
    </row>
    <row r="544" spans="1:3" ht="15.6" hidden="1" customHeight="1">
      <c r="A544" s="640"/>
      <c r="B544" s="641">
        <v>70771</v>
      </c>
      <c r="C544" s="646" t="s">
        <v>462</v>
      </c>
    </row>
    <row r="545" spans="1:3" ht="15.6" hidden="1" customHeight="1">
      <c r="A545" s="640"/>
      <c r="B545" s="641">
        <v>70772</v>
      </c>
      <c r="C545" s="646" t="s">
        <v>2157</v>
      </c>
    </row>
    <row r="546" spans="1:3" ht="15.6" hidden="1" customHeight="1">
      <c r="A546" s="640"/>
      <c r="B546" s="641">
        <v>70776</v>
      </c>
      <c r="C546" s="646" t="s">
        <v>464</v>
      </c>
    </row>
    <row r="547" spans="1:3" ht="15.6" hidden="1" customHeight="1">
      <c r="A547" s="640"/>
      <c r="B547" s="641">
        <v>70777</v>
      </c>
      <c r="C547" s="646" t="s">
        <v>465</v>
      </c>
    </row>
    <row r="548" spans="1:3" ht="15.6" hidden="1" customHeight="1">
      <c r="A548" s="640"/>
      <c r="B548" s="641">
        <v>70778</v>
      </c>
      <c r="C548" s="646" t="s">
        <v>466</v>
      </c>
    </row>
    <row r="549" spans="1:3" ht="15.6" hidden="1" customHeight="1">
      <c r="A549" s="640"/>
      <c r="B549" s="641">
        <v>70779</v>
      </c>
      <c r="C549" s="646" t="s">
        <v>467</v>
      </c>
    </row>
    <row r="550" spans="1:3" ht="15.6" hidden="1" customHeight="1">
      <c r="A550" s="640"/>
      <c r="B550" s="641">
        <v>70790</v>
      </c>
      <c r="C550" s="646" t="s">
        <v>468</v>
      </c>
    </row>
    <row r="551" spans="1:3" ht="15.6" hidden="1" customHeight="1">
      <c r="A551" s="640"/>
      <c r="B551" s="641">
        <v>70791</v>
      </c>
      <c r="C551" s="646" t="s">
        <v>469</v>
      </c>
    </row>
    <row r="552" spans="1:3" ht="15.6" hidden="1" customHeight="1">
      <c r="A552" s="640"/>
      <c r="B552" s="641">
        <v>70820</v>
      </c>
      <c r="C552" s="646" t="s">
        <v>470</v>
      </c>
    </row>
    <row r="553" spans="1:3" ht="15.6" hidden="1" customHeight="1">
      <c r="A553" s="640"/>
      <c r="B553" s="641">
        <v>70821</v>
      </c>
      <c r="C553" s="646" t="s">
        <v>471</v>
      </c>
    </row>
    <row r="554" spans="1:3" ht="15.6" hidden="1" customHeight="1">
      <c r="A554" s="640"/>
      <c r="B554" s="641">
        <v>70822</v>
      </c>
      <c r="C554" s="646" t="s">
        <v>472</v>
      </c>
    </row>
    <row r="555" spans="1:3" ht="15.6" hidden="1" customHeight="1">
      <c r="A555" s="640"/>
      <c r="B555" s="641">
        <v>70823</v>
      </c>
      <c r="C555" s="646" t="s">
        <v>473</v>
      </c>
    </row>
    <row r="556" spans="1:3" ht="15.6" hidden="1" customHeight="1">
      <c r="A556" s="640"/>
      <c r="B556" s="641">
        <v>70835</v>
      </c>
      <c r="C556" s="646" t="s">
        <v>474</v>
      </c>
    </row>
    <row r="557" spans="1:3" ht="15.6" hidden="1" customHeight="1">
      <c r="A557" s="640"/>
      <c r="B557" s="641">
        <v>70836</v>
      </c>
      <c r="C557" s="646" t="s">
        <v>475</v>
      </c>
    </row>
    <row r="558" spans="1:3" ht="15.6" hidden="1" customHeight="1">
      <c r="A558" s="640"/>
      <c r="B558" s="641">
        <v>70837</v>
      </c>
      <c r="C558" s="646" t="s">
        <v>476</v>
      </c>
    </row>
    <row r="559" spans="1:3" ht="15.6" hidden="1" customHeight="1">
      <c r="A559" s="640"/>
      <c r="B559" s="641">
        <v>70838</v>
      </c>
      <c r="C559" s="646" t="s">
        <v>477</v>
      </c>
    </row>
    <row r="560" spans="1:3" ht="15.6" hidden="1" customHeight="1">
      <c r="A560" s="640"/>
      <c r="B560" s="641">
        <v>70839</v>
      </c>
      <c r="C560" s="646" t="s">
        <v>2158</v>
      </c>
    </row>
    <row r="561" spans="1:3" ht="15.6" hidden="1" customHeight="1">
      <c r="A561" s="640"/>
      <c r="B561" s="641">
        <v>70840</v>
      </c>
      <c r="C561" s="646" t="s">
        <v>2159</v>
      </c>
    </row>
    <row r="562" spans="1:3" ht="15.6" hidden="1" customHeight="1">
      <c r="A562" s="640"/>
      <c r="B562" s="641">
        <v>70842</v>
      </c>
      <c r="C562" s="646" t="s">
        <v>2160</v>
      </c>
    </row>
    <row r="563" spans="1:3" ht="15.6" hidden="1" customHeight="1">
      <c r="A563" s="640"/>
      <c r="B563" s="641">
        <v>70845</v>
      </c>
      <c r="C563" s="646" t="s">
        <v>481</v>
      </c>
    </row>
    <row r="564" spans="1:3" ht="15.6" hidden="1" customHeight="1">
      <c r="A564" s="640"/>
      <c r="B564" s="641">
        <v>70857</v>
      </c>
      <c r="C564" s="646" t="s">
        <v>482</v>
      </c>
    </row>
    <row r="565" spans="1:3" ht="15.6" hidden="1" customHeight="1">
      <c r="A565" s="640"/>
      <c r="B565" s="641">
        <v>70858</v>
      </c>
      <c r="C565" s="646" t="s">
        <v>483</v>
      </c>
    </row>
    <row r="566" spans="1:3" ht="15.6" hidden="1" customHeight="1">
      <c r="A566" s="640"/>
      <c r="B566" s="641">
        <v>70859</v>
      </c>
      <c r="C566" s="646" t="s">
        <v>484</v>
      </c>
    </row>
    <row r="567" spans="1:3" ht="15.6" hidden="1" customHeight="1">
      <c r="A567" s="640"/>
      <c r="B567" s="641">
        <v>70860</v>
      </c>
      <c r="C567" s="646" t="s">
        <v>485</v>
      </c>
    </row>
    <row r="568" spans="1:3" ht="15.6" hidden="1" customHeight="1">
      <c r="A568" s="640"/>
      <c r="B568" s="641">
        <v>70861</v>
      </c>
      <c r="C568" s="646" t="s">
        <v>486</v>
      </c>
    </row>
    <row r="569" spans="1:3" ht="15.6" hidden="1" customHeight="1">
      <c r="A569" s="640"/>
      <c r="B569" s="641">
        <v>70862</v>
      </c>
      <c r="C569" s="646" t="s">
        <v>2161</v>
      </c>
    </row>
    <row r="570" spans="1:3" ht="15.6" hidden="1" customHeight="1">
      <c r="A570" s="640"/>
      <c r="B570" s="641">
        <v>70880</v>
      </c>
      <c r="C570" s="646" t="s">
        <v>2162</v>
      </c>
    </row>
    <row r="571" spans="1:3" ht="15.6" hidden="1" customHeight="1">
      <c r="A571" s="640"/>
      <c r="B571" s="641">
        <v>70890</v>
      </c>
      <c r="C571" s="646" t="s">
        <v>489</v>
      </c>
    </row>
    <row r="572" spans="1:3" ht="15.6" hidden="1" customHeight="1">
      <c r="A572" s="640"/>
      <c r="B572" s="641">
        <v>70891</v>
      </c>
      <c r="C572" s="646" t="s">
        <v>490</v>
      </c>
    </row>
    <row r="573" spans="1:3" ht="15.6" hidden="1" customHeight="1">
      <c r="A573" s="640"/>
      <c r="B573" s="641">
        <v>70892</v>
      </c>
      <c r="C573" s="646" t="s">
        <v>491</v>
      </c>
    </row>
    <row r="574" spans="1:3" ht="15.6" hidden="1" customHeight="1">
      <c r="A574" s="640"/>
      <c r="B574" s="641">
        <v>70893</v>
      </c>
      <c r="C574" s="646" t="s">
        <v>492</v>
      </c>
    </row>
    <row r="575" spans="1:3" ht="15.6" hidden="1" customHeight="1">
      <c r="A575" s="640"/>
      <c r="B575" s="641">
        <v>70894</v>
      </c>
      <c r="C575" s="646" t="s">
        <v>493</v>
      </c>
    </row>
    <row r="576" spans="1:3" ht="15.6" hidden="1" customHeight="1">
      <c r="A576" s="640"/>
      <c r="B576" s="641">
        <v>70910</v>
      </c>
      <c r="C576" s="646" t="s">
        <v>2163</v>
      </c>
    </row>
    <row r="577" spans="1:3" ht="15.6" hidden="1" customHeight="1">
      <c r="A577" s="640"/>
      <c r="B577" s="641">
        <v>70911</v>
      </c>
      <c r="C577" s="646" t="s">
        <v>2164</v>
      </c>
    </row>
    <row r="578" spans="1:3" ht="15.6" hidden="1" customHeight="1">
      <c r="A578" s="640"/>
      <c r="B578" s="641">
        <v>70920</v>
      </c>
      <c r="C578" s="646" t="s">
        <v>496</v>
      </c>
    </row>
    <row r="579" spans="1:3" ht="15.6" hidden="1" customHeight="1">
      <c r="A579" s="640"/>
      <c r="B579" s="641">
        <v>70921</v>
      </c>
      <c r="C579" s="646" t="s">
        <v>497</v>
      </c>
    </row>
    <row r="580" spans="1:3" ht="15.6" hidden="1" customHeight="1">
      <c r="A580" s="640"/>
      <c r="B580" s="641">
        <v>70922</v>
      </c>
      <c r="C580" s="646" t="s">
        <v>498</v>
      </c>
    </row>
    <row r="581" spans="1:3" ht="15.6" hidden="1" customHeight="1">
      <c r="A581" s="640"/>
      <c r="B581" s="641">
        <v>70924</v>
      </c>
      <c r="C581" s="646" t="s">
        <v>499</v>
      </c>
    </row>
    <row r="582" spans="1:3" ht="15.6" hidden="1" customHeight="1">
      <c r="A582" s="640"/>
      <c r="B582" s="641">
        <v>70925</v>
      </c>
      <c r="C582" s="646" t="s">
        <v>500</v>
      </c>
    </row>
    <row r="583" spans="1:3" ht="15.6" hidden="1" customHeight="1">
      <c r="A583" s="640"/>
      <c r="B583" s="641">
        <v>70926</v>
      </c>
      <c r="C583" s="646" t="s">
        <v>501</v>
      </c>
    </row>
    <row r="584" spans="1:3" ht="15.6" hidden="1" customHeight="1">
      <c r="A584" s="640"/>
      <c r="B584" s="641">
        <v>70927</v>
      </c>
      <c r="C584" s="646" t="s">
        <v>502</v>
      </c>
    </row>
    <row r="585" spans="1:3" ht="15.6" hidden="1" customHeight="1">
      <c r="A585" s="640"/>
      <c r="B585" s="641">
        <v>70928</v>
      </c>
      <c r="C585" s="646" t="s">
        <v>503</v>
      </c>
    </row>
    <row r="586" spans="1:3">
      <c r="A586" s="640" t="s">
        <v>3626</v>
      </c>
      <c r="B586" s="641">
        <v>70929</v>
      </c>
      <c r="C586" s="646" t="s">
        <v>504</v>
      </c>
    </row>
    <row r="587" spans="1:3" ht="15.6" hidden="1" customHeight="1">
      <c r="A587" s="640"/>
      <c r="B587" s="641">
        <v>70930</v>
      </c>
      <c r="C587" s="646" t="s">
        <v>505</v>
      </c>
    </row>
    <row r="588" spans="1:3">
      <c r="A588" s="640" t="s">
        <v>3627</v>
      </c>
      <c r="B588" s="641">
        <v>70931</v>
      </c>
      <c r="C588" s="646" t="s">
        <v>506</v>
      </c>
    </row>
    <row r="589" spans="1:3" ht="15.6" hidden="1" customHeight="1">
      <c r="A589" s="640"/>
      <c r="B589" s="641">
        <v>70932</v>
      </c>
      <c r="C589" s="646" t="s">
        <v>507</v>
      </c>
    </row>
    <row r="590" spans="1:3">
      <c r="A590" s="640" t="s">
        <v>3628</v>
      </c>
      <c r="B590" s="641">
        <v>70933</v>
      </c>
      <c r="C590" s="646" t="s">
        <v>508</v>
      </c>
    </row>
    <row r="591" spans="1:3" ht="15.6" hidden="1" customHeight="1">
      <c r="A591" s="640"/>
      <c r="B591" s="641">
        <v>71016</v>
      </c>
      <c r="C591" s="646" t="s">
        <v>509</v>
      </c>
    </row>
    <row r="592" spans="1:3" ht="15.6" hidden="1" customHeight="1">
      <c r="A592" s="640"/>
      <c r="B592" s="641">
        <v>71020</v>
      </c>
      <c r="C592" s="646" t="s">
        <v>2165</v>
      </c>
    </row>
    <row r="593" spans="1:3" ht="15.6" hidden="1" customHeight="1">
      <c r="A593" s="640"/>
      <c r="B593" s="641">
        <v>71026</v>
      </c>
      <c r="C593" s="646" t="s">
        <v>2166</v>
      </c>
    </row>
    <row r="594" spans="1:3" ht="15.6" hidden="1" customHeight="1">
      <c r="A594" s="640"/>
      <c r="B594" s="641">
        <v>71030</v>
      </c>
      <c r="C594" s="646" t="s">
        <v>512</v>
      </c>
    </row>
    <row r="595" spans="1:3" ht="15.6" hidden="1" customHeight="1">
      <c r="A595" s="640"/>
      <c r="B595" s="641">
        <v>71031</v>
      </c>
      <c r="C595" s="646" t="s">
        <v>513</v>
      </c>
    </row>
    <row r="596" spans="1:3" ht="15.6" hidden="1" customHeight="1">
      <c r="A596" s="640"/>
      <c r="B596" s="641">
        <v>71032</v>
      </c>
      <c r="C596" s="646" t="s">
        <v>514</v>
      </c>
    </row>
    <row r="597" spans="1:3" ht="15.6" hidden="1" customHeight="1">
      <c r="A597" s="640"/>
      <c r="B597" s="641">
        <v>71033</v>
      </c>
      <c r="C597" s="646" t="s">
        <v>515</v>
      </c>
    </row>
    <row r="598" spans="1:3" ht="15.6" hidden="1" customHeight="1">
      <c r="A598" s="640"/>
      <c r="B598" s="641">
        <v>71034</v>
      </c>
      <c r="C598" s="646" t="s">
        <v>516</v>
      </c>
    </row>
    <row r="599" spans="1:3" ht="15.6" hidden="1" customHeight="1">
      <c r="A599" s="640"/>
      <c r="B599" s="641">
        <v>71035</v>
      </c>
      <c r="C599" s="646" t="s">
        <v>517</v>
      </c>
    </row>
    <row r="600" spans="1:3" ht="15.6" hidden="1" customHeight="1">
      <c r="A600" s="640"/>
      <c r="B600" s="641">
        <v>71036</v>
      </c>
      <c r="C600" s="646" t="s">
        <v>518</v>
      </c>
    </row>
    <row r="601" spans="1:3" ht="15.6" hidden="1" customHeight="1">
      <c r="A601" s="640"/>
      <c r="B601" s="641">
        <v>71037</v>
      </c>
      <c r="C601" s="646" t="s">
        <v>519</v>
      </c>
    </row>
    <row r="602" spans="1:3" ht="15.6" hidden="1" customHeight="1">
      <c r="A602" s="640"/>
      <c r="B602" s="641">
        <v>71038</v>
      </c>
      <c r="C602" s="646" t="s">
        <v>520</v>
      </c>
    </row>
    <row r="603" spans="1:3" ht="15.6" hidden="1" customHeight="1">
      <c r="A603" s="640"/>
      <c r="B603" s="641">
        <v>71039</v>
      </c>
      <c r="C603" s="646" t="s">
        <v>521</v>
      </c>
    </row>
    <row r="604" spans="1:3" ht="15.6" hidden="1" customHeight="1">
      <c r="A604" s="640"/>
      <c r="B604" s="641">
        <v>71040</v>
      </c>
      <c r="C604" s="646" t="s">
        <v>522</v>
      </c>
    </row>
    <row r="605" spans="1:3" ht="15.6" hidden="1" customHeight="1">
      <c r="A605" s="640"/>
      <c r="B605" s="641">
        <v>71041</v>
      </c>
      <c r="C605" s="646" t="s">
        <v>523</v>
      </c>
    </row>
    <row r="606" spans="1:3" ht="26.4" hidden="1" customHeight="1">
      <c r="A606" s="640"/>
      <c r="B606" s="641">
        <v>71043</v>
      </c>
      <c r="C606" s="646" t="s">
        <v>524</v>
      </c>
    </row>
    <row r="607" spans="1:3" ht="15.6" hidden="1" customHeight="1">
      <c r="A607" s="640"/>
      <c r="B607" s="641">
        <v>71060</v>
      </c>
      <c r="C607" s="646" t="s">
        <v>2167</v>
      </c>
    </row>
    <row r="608" spans="1:3" ht="15.6" hidden="1" customHeight="1">
      <c r="A608" s="640"/>
      <c r="B608" s="641">
        <v>71061</v>
      </c>
      <c r="C608" s="646" t="s">
        <v>2168</v>
      </c>
    </row>
    <row r="609" spans="1:3" ht="15.6" hidden="1" customHeight="1">
      <c r="A609" s="640"/>
      <c r="B609" s="641">
        <v>71062</v>
      </c>
      <c r="C609" s="646" t="s">
        <v>2169</v>
      </c>
    </row>
    <row r="610" spans="1:3" ht="15.6" hidden="1" customHeight="1">
      <c r="A610" s="640"/>
      <c r="B610" s="641">
        <v>71063</v>
      </c>
      <c r="C610" s="646" t="s">
        <v>2170</v>
      </c>
    </row>
    <row r="611" spans="1:3" ht="15.6" hidden="1" customHeight="1">
      <c r="A611" s="640"/>
      <c r="B611" s="641">
        <v>71064</v>
      </c>
      <c r="C611" s="646" t="s">
        <v>2171</v>
      </c>
    </row>
    <row r="612" spans="1:3" ht="15.6" hidden="1" customHeight="1">
      <c r="A612" s="640"/>
      <c r="B612" s="641">
        <v>71070</v>
      </c>
      <c r="C612" s="646" t="s">
        <v>2172</v>
      </c>
    </row>
    <row r="613" spans="1:3" ht="15.6" hidden="1" customHeight="1">
      <c r="A613" s="640"/>
      <c r="B613" s="641">
        <v>71071</v>
      </c>
      <c r="C613" s="646" t="s">
        <v>2173</v>
      </c>
    </row>
    <row r="614" spans="1:3" ht="15.6" hidden="1" customHeight="1">
      <c r="A614" s="640"/>
      <c r="B614" s="641">
        <v>71072</v>
      </c>
      <c r="C614" s="646" t="s">
        <v>2174</v>
      </c>
    </row>
    <row r="615" spans="1:3" ht="15.6" hidden="1" customHeight="1">
      <c r="A615" s="640"/>
      <c r="B615" s="641">
        <v>71096</v>
      </c>
      <c r="C615" s="646" t="s">
        <v>533</v>
      </c>
    </row>
    <row r="616" spans="1:3" ht="15.6" hidden="1" customHeight="1">
      <c r="A616" s="640"/>
      <c r="B616" s="641">
        <v>71097</v>
      </c>
      <c r="C616" s="646" t="s">
        <v>534</v>
      </c>
    </row>
    <row r="617" spans="1:3" ht="15.6" hidden="1" customHeight="1">
      <c r="A617" s="640"/>
      <c r="B617" s="641">
        <v>71098</v>
      </c>
      <c r="C617" s="646" t="s">
        <v>535</v>
      </c>
    </row>
    <row r="618" spans="1:3" ht="15.6" hidden="1" customHeight="1">
      <c r="A618" s="640"/>
      <c r="B618" s="641">
        <v>71099</v>
      </c>
      <c r="C618" s="646" t="s">
        <v>536</v>
      </c>
    </row>
    <row r="619" spans="1:3" ht="15.6" hidden="1" customHeight="1">
      <c r="A619" s="640"/>
      <c r="B619" s="641">
        <v>71100</v>
      </c>
      <c r="C619" s="646" t="s">
        <v>537</v>
      </c>
    </row>
    <row r="620" spans="1:3" ht="15.6" hidden="1" customHeight="1">
      <c r="A620" s="640"/>
      <c r="B620" s="641">
        <v>71101</v>
      </c>
      <c r="C620" s="646" t="s">
        <v>538</v>
      </c>
    </row>
    <row r="621" spans="1:3" ht="15.6" hidden="1" customHeight="1">
      <c r="A621" s="640"/>
      <c r="B621" s="641">
        <v>71102</v>
      </c>
      <c r="C621" s="646" t="s">
        <v>539</v>
      </c>
    </row>
    <row r="622" spans="1:3" ht="15.6" hidden="1" customHeight="1">
      <c r="A622" s="640"/>
      <c r="B622" s="641">
        <v>71103</v>
      </c>
      <c r="C622" s="646" t="s">
        <v>540</v>
      </c>
    </row>
    <row r="623" spans="1:3" ht="15.6" hidden="1" customHeight="1">
      <c r="A623" s="640"/>
      <c r="B623" s="641">
        <v>71104</v>
      </c>
      <c r="C623" s="646" t="s">
        <v>541</v>
      </c>
    </row>
    <row r="624" spans="1:3" ht="15.6" hidden="1" customHeight="1">
      <c r="A624" s="640"/>
      <c r="B624" s="641">
        <v>71105</v>
      </c>
      <c r="C624" s="646" t="s">
        <v>542</v>
      </c>
    </row>
    <row r="625" spans="1:3" ht="15.6" hidden="1" customHeight="1">
      <c r="A625" s="640"/>
      <c r="B625" s="641">
        <v>71110</v>
      </c>
      <c r="C625" s="646" t="s">
        <v>543</v>
      </c>
    </row>
    <row r="626" spans="1:3" ht="15.6" hidden="1" customHeight="1">
      <c r="A626" s="640"/>
      <c r="B626" s="641">
        <v>71111</v>
      </c>
      <c r="C626" s="646" t="s">
        <v>2175</v>
      </c>
    </row>
    <row r="627" spans="1:3" ht="15.6" hidden="1" customHeight="1">
      <c r="A627" s="640"/>
      <c r="B627" s="641">
        <v>71115</v>
      </c>
      <c r="C627" s="646" t="s">
        <v>545</v>
      </c>
    </row>
    <row r="628" spans="1:3" ht="15.6" hidden="1" customHeight="1">
      <c r="A628" s="640"/>
      <c r="B628" s="641">
        <v>71120</v>
      </c>
      <c r="C628" s="646" t="s">
        <v>546</v>
      </c>
    </row>
    <row r="629" spans="1:3" ht="15.6" hidden="1" customHeight="1">
      <c r="A629" s="640"/>
      <c r="B629" s="641">
        <v>71121</v>
      </c>
      <c r="C629" s="646" t="s">
        <v>547</v>
      </c>
    </row>
    <row r="630" spans="1:3">
      <c r="A630" s="640" t="s">
        <v>3629</v>
      </c>
      <c r="B630" s="641">
        <v>71122</v>
      </c>
      <c r="C630" s="646" t="s">
        <v>548</v>
      </c>
    </row>
    <row r="631" spans="1:3" ht="15.6" hidden="1" customHeight="1">
      <c r="A631" s="640"/>
      <c r="B631" s="641">
        <v>71123</v>
      </c>
      <c r="C631" s="646" t="s">
        <v>549</v>
      </c>
    </row>
    <row r="632" spans="1:3" ht="15.6" hidden="1" customHeight="1">
      <c r="A632" s="640"/>
      <c r="B632" s="641">
        <v>71124</v>
      </c>
      <c r="C632" s="646" t="s">
        <v>550</v>
      </c>
    </row>
    <row r="633" spans="1:3" ht="15.6" hidden="1" customHeight="1">
      <c r="A633" s="640"/>
      <c r="B633" s="641">
        <v>71125</v>
      </c>
      <c r="C633" s="646" t="s">
        <v>551</v>
      </c>
    </row>
    <row r="634" spans="1:3" ht="15.6" hidden="1" customHeight="1">
      <c r="A634" s="640"/>
      <c r="B634" s="641">
        <v>71126</v>
      </c>
      <c r="C634" s="646" t="s">
        <v>552</v>
      </c>
    </row>
    <row r="635" spans="1:3" ht="15.6" hidden="1" customHeight="1">
      <c r="A635" s="640"/>
      <c r="B635" s="641">
        <v>71127</v>
      </c>
      <c r="C635" s="646" t="s">
        <v>553</v>
      </c>
    </row>
    <row r="636" spans="1:3" ht="15.6" hidden="1" customHeight="1">
      <c r="A636" s="640"/>
      <c r="B636" s="641">
        <v>71128</v>
      </c>
      <c r="C636" s="646" t="s">
        <v>554</v>
      </c>
    </row>
    <row r="637" spans="1:3" ht="15.6" hidden="1" customHeight="1">
      <c r="A637" s="640"/>
      <c r="B637" s="641">
        <v>71140</v>
      </c>
      <c r="C637" s="646" t="s">
        <v>555</v>
      </c>
    </row>
    <row r="638" spans="1:3" ht="15.6" hidden="1" customHeight="1">
      <c r="A638" s="640"/>
      <c r="B638" s="641">
        <v>71141</v>
      </c>
      <c r="C638" s="646" t="s">
        <v>556</v>
      </c>
    </row>
    <row r="639" spans="1:3" ht="15.6" hidden="1" customHeight="1">
      <c r="A639" s="640"/>
      <c r="B639" s="641">
        <v>71142</v>
      </c>
      <c r="C639" s="646" t="s">
        <v>557</v>
      </c>
    </row>
    <row r="640" spans="1:3" ht="15.6" hidden="1" customHeight="1">
      <c r="A640" s="640"/>
      <c r="B640" s="641">
        <v>71143</v>
      </c>
      <c r="C640" s="646" t="s">
        <v>558</v>
      </c>
    </row>
    <row r="641" spans="1:3" ht="15.6" hidden="1" customHeight="1">
      <c r="A641" s="640"/>
      <c r="B641" s="641">
        <v>71144</v>
      </c>
      <c r="C641" s="646" t="s">
        <v>559</v>
      </c>
    </row>
    <row r="642" spans="1:3" ht="15.6" hidden="1" customHeight="1">
      <c r="A642" s="640"/>
      <c r="B642" s="641">
        <v>71145</v>
      </c>
      <c r="C642" s="646" t="s">
        <v>560</v>
      </c>
    </row>
    <row r="643" spans="1:3" ht="15.6" hidden="1" customHeight="1">
      <c r="A643" s="640"/>
      <c r="B643" s="641">
        <v>71146</v>
      </c>
      <c r="C643" s="646" t="s">
        <v>561</v>
      </c>
    </row>
    <row r="644" spans="1:3" ht="15.6" hidden="1" customHeight="1">
      <c r="A644" s="640"/>
      <c r="B644" s="641">
        <v>71147</v>
      </c>
      <c r="C644" s="646" t="s">
        <v>562</v>
      </c>
    </row>
    <row r="645" spans="1:3" ht="15.6" hidden="1" customHeight="1">
      <c r="A645" s="640"/>
      <c r="B645" s="641">
        <v>71148</v>
      </c>
      <c r="C645" s="646" t="s">
        <v>563</v>
      </c>
    </row>
    <row r="646" spans="1:3" ht="15.6" hidden="1" customHeight="1">
      <c r="A646" s="640"/>
      <c r="B646" s="641">
        <v>71150</v>
      </c>
      <c r="C646" s="646" t="s">
        <v>564</v>
      </c>
    </row>
    <row r="647" spans="1:3" ht="15.6" hidden="1" customHeight="1">
      <c r="A647" s="640"/>
      <c r="B647" s="641">
        <v>71151</v>
      </c>
      <c r="C647" s="646" t="s">
        <v>565</v>
      </c>
    </row>
    <row r="648" spans="1:3" ht="15.6" hidden="1" customHeight="1">
      <c r="A648" s="640"/>
      <c r="B648" s="641">
        <v>71152</v>
      </c>
      <c r="C648" s="646" t="s">
        <v>566</v>
      </c>
    </row>
    <row r="649" spans="1:3" ht="15.6" hidden="1" customHeight="1">
      <c r="A649" s="640"/>
      <c r="B649" s="641">
        <v>71153</v>
      </c>
      <c r="C649" s="646" t="s">
        <v>567</v>
      </c>
    </row>
    <row r="650" spans="1:3" ht="15.6" hidden="1" customHeight="1">
      <c r="A650" s="640"/>
      <c r="B650" s="641">
        <v>71154</v>
      </c>
      <c r="C650" s="646" t="s">
        <v>568</v>
      </c>
    </row>
    <row r="651" spans="1:3" ht="15.6" hidden="1" customHeight="1">
      <c r="A651" s="640"/>
      <c r="B651" s="641">
        <v>71155</v>
      </c>
      <c r="C651" s="646" t="s">
        <v>569</v>
      </c>
    </row>
    <row r="652" spans="1:3" ht="15.6" hidden="1" customHeight="1">
      <c r="A652" s="640"/>
      <c r="B652" s="641">
        <v>71156</v>
      </c>
      <c r="C652" s="646" t="s">
        <v>570</v>
      </c>
    </row>
    <row r="653" spans="1:3" ht="15.6" hidden="1" customHeight="1">
      <c r="A653" s="640"/>
      <c r="B653" s="641">
        <v>71157</v>
      </c>
      <c r="C653" s="646" t="s">
        <v>571</v>
      </c>
    </row>
    <row r="654" spans="1:3" ht="15.6" hidden="1" customHeight="1">
      <c r="A654" s="640"/>
      <c r="B654" s="641">
        <v>71158</v>
      </c>
      <c r="C654" s="646" t="s">
        <v>572</v>
      </c>
    </row>
    <row r="655" spans="1:3" ht="15.6" hidden="1" customHeight="1">
      <c r="A655" s="640"/>
      <c r="B655" s="641">
        <v>71159</v>
      </c>
      <c r="C655" s="646" t="s">
        <v>573</v>
      </c>
    </row>
    <row r="656" spans="1:3" ht="15.6" hidden="1" customHeight="1">
      <c r="A656" s="640"/>
      <c r="B656" s="641">
        <v>71170</v>
      </c>
      <c r="C656" s="646" t="s">
        <v>2176</v>
      </c>
    </row>
    <row r="657" spans="1:3">
      <c r="A657" s="640" t="s">
        <v>3630</v>
      </c>
      <c r="B657" s="641">
        <v>71171</v>
      </c>
      <c r="C657" s="646" t="s">
        <v>575</v>
      </c>
    </row>
    <row r="658" spans="1:3" ht="15.6" hidden="1" customHeight="1">
      <c r="A658" s="640"/>
      <c r="B658" s="641">
        <v>71172</v>
      </c>
      <c r="C658" s="646" t="s">
        <v>576</v>
      </c>
    </row>
    <row r="659" spans="1:3">
      <c r="A659" s="640" t="s">
        <v>3631</v>
      </c>
      <c r="B659" s="641">
        <v>71173</v>
      </c>
      <c r="C659" s="646" t="s">
        <v>577</v>
      </c>
    </row>
    <row r="660" spans="1:3" ht="15.6" hidden="1" customHeight="1">
      <c r="A660" s="640"/>
      <c r="B660" s="641">
        <v>71174</v>
      </c>
      <c r="C660" s="646" t="s">
        <v>578</v>
      </c>
    </row>
    <row r="661" spans="1:3">
      <c r="A661" s="640" t="s">
        <v>3632</v>
      </c>
      <c r="B661" s="641">
        <v>71175</v>
      </c>
      <c r="C661" s="646" t="s">
        <v>579</v>
      </c>
    </row>
    <row r="662" spans="1:3" ht="15.6" hidden="1" customHeight="1">
      <c r="A662" s="640"/>
      <c r="B662" s="641">
        <v>71176</v>
      </c>
      <c r="C662" s="646" t="s">
        <v>580</v>
      </c>
    </row>
    <row r="663" spans="1:3" ht="15.6" hidden="1" customHeight="1">
      <c r="A663" s="640"/>
      <c r="B663" s="641">
        <v>71177</v>
      </c>
      <c r="C663" s="646" t="s">
        <v>581</v>
      </c>
    </row>
    <row r="664" spans="1:3" ht="15.6" hidden="1" customHeight="1">
      <c r="A664" s="640"/>
      <c r="B664" s="641">
        <v>71178</v>
      </c>
      <c r="C664" s="646" t="s">
        <v>582</v>
      </c>
    </row>
    <row r="665" spans="1:3" ht="15.6" hidden="1" customHeight="1">
      <c r="A665" s="640"/>
      <c r="B665" s="641">
        <v>71179</v>
      </c>
      <c r="C665" s="646" t="s">
        <v>583</v>
      </c>
    </row>
    <row r="666" spans="1:3" ht="15.6" hidden="1" customHeight="1">
      <c r="A666" s="640"/>
      <c r="B666" s="641">
        <v>71180</v>
      </c>
      <c r="C666" s="646" t="s">
        <v>584</v>
      </c>
    </row>
    <row r="667" spans="1:3" ht="15.6" hidden="1" customHeight="1">
      <c r="A667" s="640"/>
      <c r="B667" s="641">
        <v>71181</v>
      </c>
      <c r="C667" s="646" t="s">
        <v>585</v>
      </c>
    </row>
    <row r="668" spans="1:3" ht="15.6" hidden="1" customHeight="1">
      <c r="A668" s="640"/>
      <c r="B668" s="641">
        <v>71184</v>
      </c>
      <c r="C668" s="646" t="s">
        <v>586</v>
      </c>
    </row>
    <row r="669" spans="1:3" ht="15.6" hidden="1" customHeight="1">
      <c r="A669" s="640"/>
      <c r="B669" s="641">
        <v>71186</v>
      </c>
      <c r="C669" s="646" t="s">
        <v>587</v>
      </c>
    </row>
    <row r="670" spans="1:3" ht="15.6" hidden="1" customHeight="1">
      <c r="A670" s="640"/>
      <c r="B670" s="641">
        <v>71190</v>
      </c>
      <c r="C670" s="646" t="s">
        <v>2177</v>
      </c>
    </row>
    <row r="671" spans="1:3" ht="15.6" hidden="1" customHeight="1">
      <c r="A671" s="640"/>
      <c r="B671" s="641">
        <v>71193</v>
      </c>
      <c r="C671" s="646" t="s">
        <v>589</v>
      </c>
    </row>
    <row r="672" spans="1:3" ht="15.6" hidden="1" customHeight="1">
      <c r="A672" s="640"/>
      <c r="B672" s="641">
        <v>71194</v>
      </c>
      <c r="C672" s="646" t="s">
        <v>590</v>
      </c>
    </row>
    <row r="673" spans="1:3">
      <c r="A673" s="640" t="s">
        <v>3633</v>
      </c>
      <c r="B673" s="641">
        <v>71195</v>
      </c>
      <c r="C673" s="646" t="s">
        <v>591</v>
      </c>
    </row>
    <row r="674" spans="1:3">
      <c r="A674" s="640" t="s">
        <v>3634</v>
      </c>
      <c r="B674" s="641">
        <v>71196</v>
      </c>
      <c r="C674" s="646" t="s">
        <v>592</v>
      </c>
    </row>
    <row r="675" spans="1:3" ht="15.6" hidden="1" customHeight="1">
      <c r="A675" s="640"/>
      <c r="B675" s="641">
        <v>71197</v>
      </c>
      <c r="C675" s="646" t="s">
        <v>593</v>
      </c>
    </row>
    <row r="676" spans="1:3" ht="15.6" hidden="1" customHeight="1">
      <c r="A676" s="640"/>
      <c r="B676" s="641">
        <v>71198</v>
      </c>
      <c r="C676" s="646" t="s">
        <v>594</v>
      </c>
    </row>
    <row r="677" spans="1:3">
      <c r="A677" s="640" t="s">
        <v>3635</v>
      </c>
      <c r="B677" s="641">
        <v>71199</v>
      </c>
      <c r="C677" s="646" t="s">
        <v>595</v>
      </c>
    </row>
    <row r="678" spans="1:3" ht="15.6" hidden="1" customHeight="1">
      <c r="A678" s="640"/>
      <c r="B678" s="641">
        <v>71200</v>
      </c>
      <c r="C678" s="646" t="s">
        <v>596</v>
      </c>
    </row>
    <row r="679" spans="1:3" ht="15.6" hidden="1" customHeight="1">
      <c r="A679" s="640"/>
      <c r="B679" s="641">
        <v>71201</v>
      </c>
      <c r="C679" s="646" t="s">
        <v>597</v>
      </c>
    </row>
    <row r="680" spans="1:3" ht="15.6" hidden="1" customHeight="1">
      <c r="A680" s="640"/>
      <c r="B680" s="641">
        <v>71202</v>
      </c>
      <c r="C680" s="646" t="s">
        <v>598</v>
      </c>
    </row>
    <row r="681" spans="1:3" ht="15.6" hidden="1" customHeight="1">
      <c r="A681" s="640"/>
      <c r="B681" s="641">
        <v>71203</v>
      </c>
      <c r="C681" s="646" t="s">
        <v>599</v>
      </c>
    </row>
    <row r="682" spans="1:3" ht="15.6" hidden="1" customHeight="1">
      <c r="A682" s="640"/>
      <c r="B682" s="641">
        <v>71204</v>
      </c>
      <c r="C682" s="646" t="s">
        <v>600</v>
      </c>
    </row>
    <row r="683" spans="1:3" ht="15.6" hidden="1" customHeight="1">
      <c r="A683" s="640"/>
      <c r="B683" s="641">
        <v>71205</v>
      </c>
      <c r="C683" s="646" t="s">
        <v>601</v>
      </c>
    </row>
    <row r="684" spans="1:3" ht="15.6" hidden="1" customHeight="1">
      <c r="A684" s="640"/>
      <c r="B684" s="641">
        <v>71206</v>
      </c>
      <c r="C684" s="646" t="s">
        <v>602</v>
      </c>
    </row>
    <row r="685" spans="1:3" ht="15.6" hidden="1" customHeight="1">
      <c r="A685" s="640"/>
      <c r="B685" s="641">
        <v>71207</v>
      </c>
      <c r="C685" s="646" t="s">
        <v>603</v>
      </c>
    </row>
    <row r="686" spans="1:3" ht="15.6" hidden="1" customHeight="1">
      <c r="A686" s="640"/>
      <c r="B686" s="641">
        <v>71208</v>
      </c>
      <c r="C686" s="646" t="s">
        <v>604</v>
      </c>
    </row>
    <row r="687" spans="1:3" ht="15.6" hidden="1" customHeight="1">
      <c r="A687" s="640"/>
      <c r="B687" s="641">
        <v>71210</v>
      </c>
      <c r="C687" s="646" t="s">
        <v>605</v>
      </c>
    </row>
    <row r="688" spans="1:3" ht="15.6" hidden="1" customHeight="1">
      <c r="A688" s="640"/>
      <c r="B688" s="641">
        <v>71211</v>
      </c>
      <c r="C688" s="646" t="s">
        <v>606</v>
      </c>
    </row>
    <row r="689" spans="1:3" ht="15.6" hidden="1" customHeight="1">
      <c r="A689" s="640"/>
      <c r="B689" s="641">
        <v>71212</v>
      </c>
      <c r="C689" s="646" t="s">
        <v>607</v>
      </c>
    </row>
    <row r="690" spans="1:3" ht="15.6" hidden="1" customHeight="1">
      <c r="A690" s="640"/>
      <c r="B690" s="641">
        <v>71213</v>
      </c>
      <c r="C690" s="646" t="s">
        <v>608</v>
      </c>
    </row>
    <row r="691" spans="1:3" ht="15.6" hidden="1" customHeight="1">
      <c r="A691" s="640"/>
      <c r="B691" s="641">
        <v>71214</v>
      </c>
      <c r="C691" s="646" t="s">
        <v>609</v>
      </c>
    </row>
    <row r="692" spans="1:3" ht="15.6" hidden="1" customHeight="1">
      <c r="A692" s="640"/>
      <c r="B692" s="641">
        <v>71215</v>
      </c>
      <c r="C692" s="646" t="s">
        <v>610</v>
      </c>
    </row>
    <row r="693" spans="1:3" ht="15.6" hidden="1" customHeight="1">
      <c r="A693" s="640"/>
      <c r="B693" s="641">
        <v>71216</v>
      </c>
      <c r="C693" s="646" t="s">
        <v>611</v>
      </c>
    </row>
    <row r="694" spans="1:3" ht="15.6" hidden="1" customHeight="1">
      <c r="A694" s="640"/>
      <c r="B694" s="641">
        <v>71217</v>
      </c>
      <c r="C694" s="646" t="s">
        <v>612</v>
      </c>
    </row>
    <row r="695" spans="1:3" ht="15.6" hidden="1" customHeight="1">
      <c r="A695" s="640"/>
      <c r="B695" s="641">
        <v>71218</v>
      </c>
      <c r="C695" s="646" t="s">
        <v>613</v>
      </c>
    </row>
    <row r="696" spans="1:3" ht="15.6" hidden="1" customHeight="1">
      <c r="A696" s="640"/>
      <c r="B696" s="641">
        <v>71230</v>
      </c>
      <c r="C696" s="646" t="s">
        <v>614</v>
      </c>
    </row>
    <row r="697" spans="1:3" ht="15.6" hidden="1" customHeight="1">
      <c r="A697" s="640"/>
      <c r="B697" s="641">
        <v>71231</v>
      </c>
      <c r="C697" s="646" t="s">
        <v>615</v>
      </c>
    </row>
    <row r="698" spans="1:3" ht="15.6" hidden="1" customHeight="1">
      <c r="A698" s="640"/>
      <c r="B698" s="641">
        <v>71232</v>
      </c>
      <c r="C698" s="646" t="s">
        <v>616</v>
      </c>
    </row>
    <row r="699" spans="1:3" ht="15.6" hidden="1" customHeight="1">
      <c r="A699" s="640"/>
      <c r="B699" s="641">
        <v>71250</v>
      </c>
      <c r="C699" s="646" t="s">
        <v>617</v>
      </c>
    </row>
    <row r="700" spans="1:3" ht="15.6" hidden="1" customHeight="1">
      <c r="A700" s="640"/>
      <c r="B700" s="641">
        <v>71251</v>
      </c>
      <c r="C700" s="646" t="s">
        <v>618</v>
      </c>
    </row>
    <row r="701" spans="1:3">
      <c r="A701" s="640" t="s">
        <v>3782</v>
      </c>
      <c r="B701" s="641">
        <v>71252</v>
      </c>
      <c r="C701" s="646" t="s">
        <v>619</v>
      </c>
    </row>
    <row r="702" spans="1:3" ht="15.6" hidden="1" customHeight="1">
      <c r="A702" s="640"/>
      <c r="B702" s="641">
        <v>71253</v>
      </c>
      <c r="C702" s="646" t="s">
        <v>620</v>
      </c>
    </row>
    <row r="703" spans="1:3">
      <c r="A703" s="640" t="s">
        <v>3783</v>
      </c>
      <c r="B703" s="641">
        <v>71254</v>
      </c>
      <c r="C703" s="646" t="s">
        <v>621</v>
      </c>
    </row>
    <row r="704" spans="1:3" ht="15.6" hidden="1" customHeight="1">
      <c r="A704" s="640"/>
      <c r="B704" s="641">
        <v>71255</v>
      </c>
      <c r="C704" s="646" t="s">
        <v>622</v>
      </c>
    </row>
    <row r="705" spans="1:3" ht="15.6" hidden="1" customHeight="1">
      <c r="A705" s="640"/>
      <c r="B705" s="641">
        <v>71256</v>
      </c>
      <c r="C705" s="646" t="s">
        <v>623</v>
      </c>
    </row>
    <row r="706" spans="1:3" ht="15.6" hidden="1" customHeight="1">
      <c r="A706" s="640"/>
      <c r="B706" s="641">
        <v>71257</v>
      </c>
      <c r="C706" s="646" t="s">
        <v>624</v>
      </c>
    </row>
    <row r="707" spans="1:3" ht="15.6" hidden="1" customHeight="1">
      <c r="A707" s="640"/>
      <c r="B707" s="641">
        <v>71258</v>
      </c>
      <c r="C707" s="646" t="s">
        <v>625</v>
      </c>
    </row>
    <row r="708" spans="1:3" ht="15.6" hidden="1" customHeight="1">
      <c r="A708" s="640"/>
      <c r="B708" s="641">
        <v>71267</v>
      </c>
      <c r="C708" s="646" t="s">
        <v>626</v>
      </c>
    </row>
    <row r="709" spans="1:3" ht="15.6" hidden="1" customHeight="1">
      <c r="A709" s="640"/>
      <c r="B709" s="641">
        <v>71268</v>
      </c>
      <c r="C709" s="646" t="s">
        <v>627</v>
      </c>
    </row>
    <row r="710" spans="1:3" ht="15.6" hidden="1" customHeight="1">
      <c r="A710" s="640"/>
      <c r="B710" s="641">
        <v>71270</v>
      </c>
      <c r="C710" s="646" t="s">
        <v>628</v>
      </c>
    </row>
    <row r="711" spans="1:3" ht="15.6" hidden="1" customHeight="1">
      <c r="A711" s="640"/>
      <c r="B711" s="641">
        <v>71271</v>
      </c>
      <c r="C711" s="646" t="s">
        <v>629</v>
      </c>
    </row>
    <row r="712" spans="1:3" ht="15.6" hidden="1" customHeight="1">
      <c r="A712" s="640"/>
      <c r="B712" s="641">
        <v>71275</v>
      </c>
      <c r="C712" s="646" t="s">
        <v>2178</v>
      </c>
    </row>
    <row r="713" spans="1:3" ht="15.6" hidden="1" customHeight="1">
      <c r="A713" s="640"/>
      <c r="B713" s="641">
        <v>71277</v>
      </c>
      <c r="C713" s="646" t="s">
        <v>2179</v>
      </c>
    </row>
    <row r="714" spans="1:3" ht="15.6" hidden="1" customHeight="1">
      <c r="A714" s="640"/>
      <c r="B714" s="641">
        <v>71278</v>
      </c>
      <c r="C714" s="646" t="s">
        <v>632</v>
      </c>
    </row>
    <row r="715" spans="1:3" ht="15.6" hidden="1" customHeight="1">
      <c r="A715" s="640"/>
      <c r="B715" s="641">
        <v>71279</v>
      </c>
      <c r="C715" s="646" t="s">
        <v>633</v>
      </c>
    </row>
    <row r="716" spans="1:3" ht="15.6" hidden="1" customHeight="1">
      <c r="A716" s="640"/>
      <c r="B716" s="641">
        <v>71280</v>
      </c>
      <c r="C716" s="646" t="s">
        <v>2180</v>
      </c>
    </row>
    <row r="717" spans="1:3" ht="15.6" hidden="1" customHeight="1">
      <c r="A717" s="640"/>
      <c r="B717" s="641">
        <v>71281</v>
      </c>
      <c r="C717" s="646" t="s">
        <v>2181</v>
      </c>
    </row>
    <row r="718" spans="1:3" ht="15.6" hidden="1" customHeight="1">
      <c r="A718" s="640"/>
      <c r="B718" s="641">
        <v>71282</v>
      </c>
      <c r="C718" s="646" t="s">
        <v>2182</v>
      </c>
    </row>
    <row r="719" spans="1:3" ht="15.6" hidden="1" customHeight="1">
      <c r="A719" s="640"/>
      <c r="B719" s="641">
        <v>71283</v>
      </c>
      <c r="C719" s="646" t="s">
        <v>2183</v>
      </c>
    </row>
    <row r="720" spans="1:3" ht="15.6" hidden="1" customHeight="1">
      <c r="A720" s="640"/>
      <c r="B720" s="641">
        <v>71290</v>
      </c>
      <c r="C720" s="646" t="s">
        <v>2184</v>
      </c>
    </row>
    <row r="721" spans="1:3" ht="15.6" hidden="1" customHeight="1">
      <c r="A721" s="640"/>
      <c r="B721" s="641">
        <v>71291</v>
      </c>
      <c r="C721" s="646" t="s">
        <v>2185</v>
      </c>
    </row>
    <row r="722" spans="1:3" ht="15.6" hidden="1" customHeight="1">
      <c r="A722" s="640"/>
      <c r="B722" s="641">
        <v>71292</v>
      </c>
      <c r="C722" s="646" t="s">
        <v>2186</v>
      </c>
    </row>
    <row r="723" spans="1:3" ht="15.6" hidden="1" customHeight="1">
      <c r="A723" s="640"/>
      <c r="B723" s="641">
        <v>71293</v>
      </c>
      <c r="C723" s="646" t="s">
        <v>2187</v>
      </c>
    </row>
    <row r="724" spans="1:3" ht="15.6" hidden="1" customHeight="1">
      <c r="A724" s="640"/>
      <c r="B724" s="641">
        <v>71294</v>
      </c>
      <c r="C724" s="646" t="s">
        <v>2188</v>
      </c>
    </row>
    <row r="725" spans="1:3" ht="15.6" hidden="1" customHeight="1">
      <c r="A725" s="640"/>
      <c r="B725" s="641">
        <v>71320</v>
      </c>
      <c r="C725" s="646" t="s">
        <v>643</v>
      </c>
    </row>
    <row r="726" spans="1:3" ht="15.6" hidden="1" customHeight="1">
      <c r="A726" s="640"/>
      <c r="B726" s="641">
        <v>71321</v>
      </c>
      <c r="C726" s="646" t="s">
        <v>644</v>
      </c>
    </row>
    <row r="727" spans="1:3" ht="15.6" hidden="1" customHeight="1">
      <c r="A727" s="640"/>
      <c r="B727" s="641">
        <v>71329</v>
      </c>
      <c r="C727" s="646" t="s">
        <v>645</v>
      </c>
    </row>
    <row r="728" spans="1:3" ht="15.6" hidden="1" customHeight="1">
      <c r="A728" s="640"/>
      <c r="B728" s="641">
        <v>71330</v>
      </c>
      <c r="C728" s="646" t="s">
        <v>646</v>
      </c>
    </row>
    <row r="729" spans="1:3" ht="15.6" hidden="1" customHeight="1">
      <c r="A729" s="640"/>
      <c r="B729" s="641">
        <v>71331</v>
      </c>
      <c r="C729" s="646" t="s">
        <v>647</v>
      </c>
    </row>
    <row r="730" spans="1:3" ht="15.6" hidden="1" customHeight="1">
      <c r="A730" s="640"/>
      <c r="B730" s="641">
        <v>71365</v>
      </c>
      <c r="C730" s="646" t="s">
        <v>648</v>
      </c>
    </row>
    <row r="731" spans="1:3" ht="15.6" hidden="1" customHeight="1">
      <c r="A731" s="640"/>
      <c r="B731" s="641">
        <v>71371</v>
      </c>
      <c r="C731" s="646" t="s">
        <v>2189</v>
      </c>
    </row>
    <row r="732" spans="1:3">
      <c r="A732" s="640" t="s">
        <v>3784</v>
      </c>
      <c r="B732" s="641">
        <v>71380</v>
      </c>
      <c r="C732" s="646" t="s">
        <v>650</v>
      </c>
    </row>
    <row r="733" spans="1:3" ht="15.6" hidden="1" customHeight="1">
      <c r="A733" s="640"/>
      <c r="B733" s="641">
        <v>71381</v>
      </c>
      <c r="C733" s="646" t="s">
        <v>651</v>
      </c>
    </row>
    <row r="734" spans="1:3" ht="15.6" hidden="1" customHeight="1">
      <c r="A734" s="640"/>
      <c r="B734" s="641">
        <v>71390</v>
      </c>
      <c r="C734" s="646" t="s">
        <v>652</v>
      </c>
    </row>
    <row r="735" spans="1:3" ht="15.6" hidden="1" customHeight="1">
      <c r="A735" s="640"/>
      <c r="B735" s="641">
        <v>71391</v>
      </c>
      <c r="C735" s="646" t="s">
        <v>653</v>
      </c>
    </row>
    <row r="736" spans="1:3" ht="15.6" hidden="1" customHeight="1">
      <c r="A736" s="640"/>
      <c r="B736" s="641">
        <v>71400</v>
      </c>
      <c r="C736" s="646" t="s">
        <v>2190</v>
      </c>
    </row>
    <row r="737" spans="1:3" ht="15.6" hidden="1" customHeight="1">
      <c r="A737" s="640"/>
      <c r="B737" s="641">
        <v>71410</v>
      </c>
      <c r="C737" s="646" t="s">
        <v>2191</v>
      </c>
    </row>
    <row r="738" spans="1:3" ht="15.6" hidden="1" customHeight="1">
      <c r="A738" s="640"/>
      <c r="B738" s="641">
        <v>71411</v>
      </c>
      <c r="C738" s="646" t="s">
        <v>656</v>
      </c>
    </row>
    <row r="739" spans="1:3" ht="15.6" hidden="1" customHeight="1">
      <c r="A739" s="640"/>
      <c r="B739" s="641">
        <v>71412</v>
      </c>
      <c r="C739" s="646" t="s">
        <v>657</v>
      </c>
    </row>
    <row r="740" spans="1:3" ht="15.6" hidden="1" customHeight="1">
      <c r="A740" s="640"/>
      <c r="B740" s="641">
        <v>71430</v>
      </c>
      <c r="C740" s="646" t="s">
        <v>658</v>
      </c>
    </row>
    <row r="741" spans="1:3" ht="15.6" hidden="1" customHeight="1">
      <c r="A741" s="640"/>
      <c r="B741" s="641">
        <v>71431</v>
      </c>
      <c r="C741" s="646" t="s">
        <v>659</v>
      </c>
    </row>
    <row r="742" spans="1:3">
      <c r="A742" s="640" t="s">
        <v>3785</v>
      </c>
      <c r="B742" s="641">
        <v>71432</v>
      </c>
      <c r="C742" s="646" t="s">
        <v>660</v>
      </c>
    </row>
    <row r="743" spans="1:3">
      <c r="A743" s="640" t="s">
        <v>3786</v>
      </c>
      <c r="B743" s="641">
        <v>71440</v>
      </c>
      <c r="C743" s="646" t="s">
        <v>661</v>
      </c>
    </row>
    <row r="744" spans="1:3" ht="15.6" hidden="1" customHeight="1">
      <c r="A744" s="640"/>
      <c r="B744" s="641">
        <v>71441</v>
      </c>
      <c r="C744" s="646" t="s">
        <v>662</v>
      </c>
    </row>
    <row r="745" spans="1:3" ht="15.6" hidden="1" customHeight="1">
      <c r="A745" s="640"/>
      <c r="B745" s="641">
        <v>71442</v>
      </c>
      <c r="C745" s="646" t="s">
        <v>663</v>
      </c>
    </row>
    <row r="746" spans="1:3" ht="15.6" hidden="1" customHeight="1">
      <c r="A746" s="640"/>
      <c r="B746" s="641">
        <v>71443</v>
      </c>
      <c r="C746" s="646" t="s">
        <v>664</v>
      </c>
    </row>
    <row r="747" spans="1:3" ht="15.6" hidden="1" customHeight="1">
      <c r="A747" s="640"/>
      <c r="B747" s="641">
        <v>71450</v>
      </c>
      <c r="C747" s="646" t="s">
        <v>665</v>
      </c>
    </row>
    <row r="748" spans="1:3" ht="15.6" hidden="1" customHeight="1">
      <c r="A748" s="640"/>
      <c r="B748" s="641">
        <v>71451</v>
      </c>
      <c r="C748" s="646" t="s">
        <v>666</v>
      </c>
    </row>
    <row r="749" spans="1:3" ht="15.6" hidden="1" customHeight="1">
      <c r="A749" s="640"/>
      <c r="B749" s="641">
        <v>71452</v>
      </c>
      <c r="C749" s="646" t="s">
        <v>667</v>
      </c>
    </row>
    <row r="750" spans="1:3" ht="15.6" hidden="1" customHeight="1">
      <c r="A750" s="640"/>
      <c r="B750" s="641">
        <v>71455</v>
      </c>
      <c r="C750" s="646" t="s">
        <v>668</v>
      </c>
    </row>
    <row r="751" spans="1:3" ht="15.6" hidden="1" customHeight="1">
      <c r="A751" s="640"/>
      <c r="B751" s="641">
        <v>71456</v>
      </c>
      <c r="C751" s="646" t="s">
        <v>669</v>
      </c>
    </row>
    <row r="752" spans="1:3" ht="15.6" hidden="1" customHeight="1">
      <c r="A752" s="640"/>
      <c r="B752" s="641">
        <v>71457</v>
      </c>
      <c r="C752" s="646" t="s">
        <v>670</v>
      </c>
    </row>
    <row r="753" spans="1:3" ht="15.6" hidden="1" customHeight="1">
      <c r="A753" s="640"/>
      <c r="B753" s="641">
        <v>71460</v>
      </c>
      <c r="C753" s="646" t="s">
        <v>671</v>
      </c>
    </row>
    <row r="754" spans="1:3" ht="15.6" hidden="1" customHeight="1">
      <c r="A754" s="640"/>
      <c r="B754" s="641">
        <v>71461</v>
      </c>
      <c r="C754" s="646" t="s">
        <v>672</v>
      </c>
    </row>
    <row r="755" spans="1:3" ht="15.6" hidden="1" customHeight="1">
      <c r="A755" s="640"/>
      <c r="B755" s="641">
        <v>71462</v>
      </c>
      <c r="C755" s="646" t="s">
        <v>673</v>
      </c>
    </row>
    <row r="756" spans="1:3" ht="15.6" hidden="1" customHeight="1">
      <c r="A756" s="640"/>
      <c r="B756" s="641">
        <v>71463</v>
      </c>
      <c r="C756" s="646" t="s">
        <v>674</v>
      </c>
    </row>
    <row r="757" spans="1:3" ht="15.6" hidden="1" customHeight="1">
      <c r="A757" s="640"/>
      <c r="B757" s="641">
        <v>71464</v>
      </c>
      <c r="C757" s="646" t="s">
        <v>675</v>
      </c>
    </row>
    <row r="758" spans="1:3" ht="15.6" hidden="1" customHeight="1">
      <c r="A758" s="640"/>
      <c r="B758" s="641">
        <v>71465</v>
      </c>
      <c r="C758" s="646" t="s">
        <v>676</v>
      </c>
    </row>
    <row r="759" spans="1:3" ht="15.6" hidden="1" customHeight="1">
      <c r="A759" s="640"/>
      <c r="B759" s="641">
        <v>71470</v>
      </c>
      <c r="C759" s="646" t="s">
        <v>677</v>
      </c>
    </row>
    <row r="760" spans="1:3" ht="15.6" hidden="1" customHeight="1">
      <c r="A760" s="640"/>
      <c r="B760" s="641">
        <v>71471</v>
      </c>
      <c r="C760" s="646" t="s">
        <v>2192</v>
      </c>
    </row>
    <row r="761" spans="1:3" ht="15.6" hidden="1" customHeight="1">
      <c r="A761" s="640"/>
      <c r="B761" s="641">
        <v>71472</v>
      </c>
      <c r="C761" s="646" t="s">
        <v>2193</v>
      </c>
    </row>
    <row r="762" spans="1:3" ht="15.6" hidden="1" customHeight="1">
      <c r="A762" s="640"/>
      <c r="B762" s="641">
        <v>71473</v>
      </c>
      <c r="C762" s="646" t="s">
        <v>2194</v>
      </c>
    </row>
    <row r="763" spans="1:3" ht="15.6" hidden="1" customHeight="1">
      <c r="A763" s="640"/>
      <c r="B763" s="641">
        <v>71474</v>
      </c>
      <c r="C763" s="646" t="s">
        <v>2195</v>
      </c>
    </row>
    <row r="764" spans="1:3" ht="15.6" hidden="1" customHeight="1">
      <c r="A764" s="640"/>
      <c r="B764" s="641">
        <v>71476</v>
      </c>
      <c r="C764" s="646" t="s">
        <v>682</v>
      </c>
    </row>
    <row r="765" spans="1:3" ht="15.6" hidden="1" customHeight="1">
      <c r="A765" s="640"/>
      <c r="B765" s="641">
        <v>71480</v>
      </c>
      <c r="C765" s="646" t="s">
        <v>2196</v>
      </c>
    </row>
    <row r="766" spans="1:3" ht="15.6" hidden="1" customHeight="1">
      <c r="A766" s="640"/>
      <c r="B766" s="641">
        <v>71481</v>
      </c>
      <c r="C766" s="646" t="s">
        <v>2197</v>
      </c>
    </row>
    <row r="767" spans="1:3" ht="15.6" hidden="1" customHeight="1">
      <c r="A767" s="640"/>
      <c r="B767" s="641">
        <v>71490</v>
      </c>
      <c r="C767" s="646" t="s">
        <v>685</v>
      </c>
    </row>
    <row r="768" spans="1:3" ht="15.6" hidden="1" customHeight="1">
      <c r="A768" s="640"/>
      <c r="B768" s="641">
        <v>71491</v>
      </c>
      <c r="C768" s="646" t="s">
        <v>686</v>
      </c>
    </row>
    <row r="769" spans="1:3" ht="15.6" hidden="1" customHeight="1">
      <c r="A769" s="640"/>
      <c r="B769" s="641">
        <v>71492</v>
      </c>
      <c r="C769" s="646" t="s">
        <v>687</v>
      </c>
    </row>
    <row r="770" spans="1:3" ht="15.6" hidden="1" customHeight="1">
      <c r="A770" s="640"/>
      <c r="B770" s="641">
        <v>71500</v>
      </c>
      <c r="C770" s="646" t="s">
        <v>688</v>
      </c>
    </row>
    <row r="771" spans="1:3" ht="15.6" hidden="1" customHeight="1">
      <c r="A771" s="640"/>
      <c r="B771" s="641">
        <v>71510</v>
      </c>
      <c r="C771" s="646" t="s">
        <v>2198</v>
      </c>
    </row>
    <row r="772" spans="1:3" ht="15.6" hidden="1" customHeight="1">
      <c r="A772" s="640"/>
      <c r="B772" s="641">
        <v>71520</v>
      </c>
      <c r="C772" s="646" t="s">
        <v>690</v>
      </c>
    </row>
    <row r="773" spans="1:3" ht="15.6" hidden="1" customHeight="1">
      <c r="A773" s="640"/>
      <c r="B773" s="641">
        <v>71521</v>
      </c>
      <c r="C773" s="646" t="s">
        <v>691</v>
      </c>
    </row>
    <row r="774" spans="1:3" ht="15.6" hidden="1" customHeight="1">
      <c r="A774" s="640"/>
      <c r="B774" s="641">
        <v>71522</v>
      </c>
      <c r="C774" s="646" t="s">
        <v>692</v>
      </c>
    </row>
    <row r="775" spans="1:3" ht="15.6" hidden="1" customHeight="1">
      <c r="A775" s="640"/>
      <c r="B775" s="641">
        <v>71523</v>
      </c>
      <c r="C775" s="646" t="s">
        <v>693</v>
      </c>
    </row>
    <row r="776" spans="1:3" ht="15.6" hidden="1" customHeight="1">
      <c r="A776" s="640"/>
      <c r="B776" s="641">
        <v>71524</v>
      </c>
      <c r="C776" s="646" t="s">
        <v>694</v>
      </c>
    </row>
    <row r="777" spans="1:3" ht="15.6" hidden="1" customHeight="1">
      <c r="A777" s="640"/>
      <c r="B777" s="641">
        <v>71525</v>
      </c>
      <c r="C777" s="646" t="s">
        <v>695</v>
      </c>
    </row>
    <row r="778" spans="1:3" ht="15.6" hidden="1" customHeight="1">
      <c r="A778" s="640"/>
      <c r="B778" s="641">
        <v>71526</v>
      </c>
      <c r="C778" s="646" t="s">
        <v>696</v>
      </c>
    </row>
    <row r="779" spans="1:3" ht="15.6" hidden="1" customHeight="1">
      <c r="A779" s="640"/>
      <c r="B779" s="641">
        <v>71527</v>
      </c>
      <c r="C779" s="646" t="s">
        <v>697</v>
      </c>
    </row>
    <row r="780" spans="1:3" ht="15.6" hidden="1" customHeight="1">
      <c r="A780" s="640"/>
      <c r="B780" s="641">
        <v>71528</v>
      </c>
      <c r="C780" s="646" t="s">
        <v>698</v>
      </c>
    </row>
    <row r="781" spans="1:3" ht="15.6" hidden="1" customHeight="1">
      <c r="A781" s="640"/>
      <c r="B781" s="641">
        <v>71534</v>
      </c>
      <c r="C781" s="646" t="s">
        <v>699</v>
      </c>
    </row>
    <row r="782" spans="1:3" ht="15.6" hidden="1" customHeight="1">
      <c r="A782" s="640"/>
      <c r="B782" s="641">
        <v>71536</v>
      </c>
      <c r="C782" s="646" t="s">
        <v>700</v>
      </c>
    </row>
    <row r="783" spans="1:3" ht="15.6" hidden="1" customHeight="1">
      <c r="A783" s="640"/>
      <c r="B783" s="641">
        <v>71560</v>
      </c>
      <c r="C783" s="646" t="s">
        <v>701</v>
      </c>
    </row>
    <row r="784" spans="1:3" ht="15.6" hidden="1" customHeight="1">
      <c r="A784" s="640"/>
      <c r="B784" s="641">
        <v>71561</v>
      </c>
      <c r="C784" s="646" t="s">
        <v>702</v>
      </c>
    </row>
    <row r="785" spans="1:3" ht="15.6" hidden="1" customHeight="1">
      <c r="A785" s="640"/>
      <c r="B785" s="641">
        <v>71562</v>
      </c>
      <c r="C785" s="646" t="s">
        <v>703</v>
      </c>
    </row>
    <row r="786" spans="1:3" ht="15.6" hidden="1" customHeight="1">
      <c r="A786" s="640"/>
      <c r="B786" s="641">
        <v>71567</v>
      </c>
      <c r="C786" s="646" t="s">
        <v>704</v>
      </c>
    </row>
    <row r="787" spans="1:3" ht="15.6" hidden="1" customHeight="1">
      <c r="A787" s="640"/>
      <c r="B787" s="641">
        <v>71577</v>
      </c>
      <c r="C787" s="646" t="s">
        <v>705</v>
      </c>
    </row>
    <row r="788" spans="1:3" ht="15.6" hidden="1" customHeight="1">
      <c r="A788" s="640"/>
      <c r="B788" s="641">
        <v>71590</v>
      </c>
      <c r="C788" s="646" t="s">
        <v>706</v>
      </c>
    </row>
    <row r="789" spans="1:3" ht="15.6" hidden="1" customHeight="1">
      <c r="A789" s="640"/>
      <c r="B789" s="641">
        <v>71591</v>
      </c>
      <c r="C789" s="646" t="s">
        <v>707</v>
      </c>
    </row>
    <row r="790" spans="1:3" ht="15.6" hidden="1" customHeight="1">
      <c r="A790" s="640"/>
      <c r="B790" s="641">
        <v>71592</v>
      </c>
      <c r="C790" s="646" t="s">
        <v>708</v>
      </c>
    </row>
    <row r="791" spans="1:3" ht="15.6" hidden="1" customHeight="1">
      <c r="A791" s="640"/>
      <c r="B791" s="641">
        <v>71598</v>
      </c>
      <c r="C791" s="646" t="s">
        <v>709</v>
      </c>
    </row>
    <row r="792" spans="1:3" ht="15.6" hidden="1" customHeight="1">
      <c r="A792" s="640"/>
      <c r="B792" s="641">
        <v>71602</v>
      </c>
      <c r="C792" s="646" t="s">
        <v>710</v>
      </c>
    </row>
    <row r="793" spans="1:3" ht="15.6" hidden="1" customHeight="1">
      <c r="A793" s="640"/>
      <c r="B793" s="641">
        <v>71609</v>
      </c>
      <c r="C793" s="646" t="s">
        <v>711</v>
      </c>
    </row>
    <row r="794" spans="1:3" ht="15.6" hidden="1" customHeight="1">
      <c r="A794" s="640"/>
      <c r="B794" s="641">
        <v>71610</v>
      </c>
      <c r="C794" s="647" t="s">
        <v>712</v>
      </c>
    </row>
    <row r="795" spans="1:3" ht="15.6" hidden="1" customHeight="1">
      <c r="A795" s="640"/>
      <c r="B795" s="641">
        <v>71612</v>
      </c>
      <c r="C795" s="646" t="s">
        <v>713</v>
      </c>
    </row>
    <row r="796" spans="1:3" ht="15.6" hidden="1" customHeight="1">
      <c r="A796" s="640"/>
      <c r="B796" s="641">
        <v>71613</v>
      </c>
      <c r="C796" s="646" t="s">
        <v>714</v>
      </c>
    </row>
    <row r="797" spans="1:3" ht="15.6" hidden="1" customHeight="1">
      <c r="A797" s="640"/>
      <c r="B797" s="641">
        <v>71614</v>
      </c>
      <c r="C797" s="646" t="s">
        <v>715</v>
      </c>
    </row>
    <row r="798" spans="1:3" ht="15.6" hidden="1" customHeight="1">
      <c r="A798" s="640"/>
      <c r="B798" s="641">
        <v>71615</v>
      </c>
      <c r="C798" s="646" t="s">
        <v>716</v>
      </c>
    </row>
    <row r="799" spans="1:3" ht="26.4" hidden="1" customHeight="1">
      <c r="A799" s="640"/>
      <c r="B799" s="641">
        <v>71616</v>
      </c>
      <c r="C799" s="646" t="s">
        <v>717</v>
      </c>
    </row>
    <row r="800" spans="1:3" ht="26.4" hidden="1" customHeight="1">
      <c r="A800" s="640"/>
      <c r="B800" s="641">
        <v>71617</v>
      </c>
      <c r="C800" s="646" t="s">
        <v>718</v>
      </c>
    </row>
    <row r="801" spans="1:3" ht="26.4" hidden="1" customHeight="1">
      <c r="A801" s="640"/>
      <c r="B801" s="641">
        <v>71618</v>
      </c>
      <c r="C801" s="646" t="s">
        <v>719</v>
      </c>
    </row>
    <row r="802" spans="1:3" ht="15.6" hidden="1" customHeight="1">
      <c r="A802" s="640"/>
      <c r="B802" s="641">
        <v>71619</v>
      </c>
      <c r="C802" s="646" t="s">
        <v>720</v>
      </c>
    </row>
    <row r="803" spans="1:3" ht="15.6" hidden="1" customHeight="1">
      <c r="A803" s="640"/>
      <c r="B803" s="641">
        <v>71622</v>
      </c>
      <c r="C803" s="646" t="s">
        <v>721</v>
      </c>
    </row>
    <row r="804" spans="1:3" ht="15.6" hidden="1" customHeight="1">
      <c r="A804" s="640"/>
      <c r="B804" s="641">
        <v>71623</v>
      </c>
      <c r="C804" s="646" t="s">
        <v>722</v>
      </c>
    </row>
    <row r="805" spans="1:3" ht="26.4" hidden="1" customHeight="1">
      <c r="A805" s="640"/>
      <c r="B805" s="641">
        <v>71624</v>
      </c>
      <c r="C805" s="646" t="s">
        <v>723</v>
      </c>
    </row>
    <row r="806" spans="1:3" ht="26.4" hidden="1" customHeight="1">
      <c r="A806" s="640"/>
      <c r="B806" s="641">
        <v>71625</v>
      </c>
      <c r="C806" s="646" t="s">
        <v>724</v>
      </c>
    </row>
    <row r="807" spans="1:3" ht="26.4" hidden="1" customHeight="1">
      <c r="A807" s="640"/>
      <c r="B807" s="641">
        <v>71626</v>
      </c>
      <c r="C807" s="647" t="s">
        <v>725</v>
      </c>
    </row>
    <row r="808" spans="1:3" ht="26.4" hidden="1" customHeight="1">
      <c r="A808" s="640"/>
      <c r="B808" s="641">
        <v>71627</v>
      </c>
      <c r="C808" s="647" t="s">
        <v>726</v>
      </c>
    </row>
    <row r="809" spans="1:3" ht="15.6" hidden="1" customHeight="1">
      <c r="A809" s="640"/>
      <c r="B809" s="641">
        <v>71630</v>
      </c>
      <c r="C809" s="646" t="s">
        <v>727</v>
      </c>
    </row>
    <row r="810" spans="1:3" ht="15.6" hidden="1" customHeight="1">
      <c r="A810" s="640"/>
      <c r="B810" s="641">
        <v>71640</v>
      </c>
      <c r="C810" s="646" t="s">
        <v>728</v>
      </c>
    </row>
    <row r="811" spans="1:3" ht="15.6" hidden="1" customHeight="1">
      <c r="A811" s="640"/>
      <c r="B811" s="641">
        <v>71642</v>
      </c>
      <c r="C811" s="646" t="s">
        <v>729</v>
      </c>
    </row>
    <row r="812" spans="1:3" ht="15.6" hidden="1" customHeight="1">
      <c r="A812" s="640"/>
      <c r="B812" s="641">
        <v>71644</v>
      </c>
      <c r="C812" s="646" t="s">
        <v>730</v>
      </c>
    </row>
    <row r="813" spans="1:3" ht="15.6" hidden="1" customHeight="1">
      <c r="A813" s="640"/>
      <c r="B813" s="641">
        <v>71645</v>
      </c>
      <c r="C813" s="646" t="s">
        <v>731</v>
      </c>
    </row>
    <row r="814" spans="1:3" ht="26.4" hidden="1" customHeight="1">
      <c r="A814" s="640"/>
      <c r="B814" s="641">
        <v>71646</v>
      </c>
      <c r="C814" s="646" t="s">
        <v>732</v>
      </c>
    </row>
    <row r="815" spans="1:3" ht="15.6" hidden="1" customHeight="1">
      <c r="A815" s="640"/>
      <c r="B815" s="641">
        <v>71655</v>
      </c>
      <c r="C815" s="646" t="s">
        <v>733</v>
      </c>
    </row>
    <row r="816" spans="1:3" ht="15.6" hidden="1" customHeight="1">
      <c r="A816" s="640"/>
      <c r="B816" s="641">
        <v>71660</v>
      </c>
      <c r="C816" s="646" t="s">
        <v>734</v>
      </c>
    </row>
    <row r="817" spans="1:3" ht="15.6" hidden="1" customHeight="1">
      <c r="A817" s="640"/>
      <c r="B817" s="641">
        <v>71670</v>
      </c>
      <c r="C817" s="646" t="s">
        <v>735</v>
      </c>
    </row>
    <row r="818" spans="1:3" ht="26.4" hidden="1" customHeight="1">
      <c r="A818" s="640"/>
      <c r="B818" s="641">
        <v>71679</v>
      </c>
      <c r="C818" s="646" t="s">
        <v>2199</v>
      </c>
    </row>
    <row r="819" spans="1:3" ht="15.6" hidden="1" customHeight="1">
      <c r="A819" s="640"/>
      <c r="B819" s="641">
        <v>71682</v>
      </c>
      <c r="C819" s="646" t="s">
        <v>737</v>
      </c>
    </row>
    <row r="820" spans="1:3" ht="15.6" hidden="1" customHeight="1">
      <c r="A820" s="640"/>
      <c r="B820" s="641">
        <v>71683</v>
      </c>
      <c r="C820" s="646" t="s">
        <v>738</v>
      </c>
    </row>
    <row r="821" spans="1:3" ht="15.6" hidden="1" customHeight="1">
      <c r="A821" s="640"/>
      <c r="B821" s="641">
        <v>71684</v>
      </c>
      <c r="C821" s="646" t="s">
        <v>739</v>
      </c>
    </row>
    <row r="822" spans="1:3" ht="15.6" hidden="1" customHeight="1">
      <c r="A822" s="640"/>
      <c r="B822" s="641">
        <v>71685</v>
      </c>
      <c r="C822" s="646" t="s">
        <v>740</v>
      </c>
    </row>
    <row r="823" spans="1:3" ht="15.6" hidden="1" customHeight="1">
      <c r="A823" s="640"/>
      <c r="B823" s="641">
        <v>71686</v>
      </c>
      <c r="C823" s="646" t="s">
        <v>741</v>
      </c>
    </row>
    <row r="824" spans="1:3" ht="15.6" hidden="1" customHeight="1">
      <c r="A824" s="640"/>
      <c r="B824" s="641">
        <v>71687</v>
      </c>
      <c r="C824" s="646" t="s">
        <v>742</v>
      </c>
    </row>
    <row r="825" spans="1:3" ht="15.6" hidden="1" customHeight="1">
      <c r="A825" s="640"/>
      <c r="B825" s="641">
        <v>71688</v>
      </c>
      <c r="C825" s="646" t="s">
        <v>743</v>
      </c>
    </row>
    <row r="826" spans="1:3" ht="15.6" hidden="1" customHeight="1">
      <c r="A826" s="640"/>
      <c r="B826" s="641">
        <v>71689</v>
      </c>
      <c r="C826" s="646" t="s">
        <v>744</v>
      </c>
    </row>
    <row r="827" spans="1:3" ht="15.6" hidden="1" customHeight="1">
      <c r="A827" s="640"/>
      <c r="B827" s="641">
        <v>71700</v>
      </c>
      <c r="C827" s="646" t="s">
        <v>745</v>
      </c>
    </row>
    <row r="828" spans="1:3" ht="15.6" hidden="1" customHeight="1">
      <c r="A828" s="640"/>
      <c r="B828" s="641">
        <v>71701</v>
      </c>
      <c r="C828" s="646" t="s">
        <v>746</v>
      </c>
    </row>
    <row r="829" spans="1:3" ht="15.6" hidden="1" customHeight="1">
      <c r="A829" s="640"/>
      <c r="B829" s="641">
        <v>71702</v>
      </c>
      <c r="C829" s="646" t="s">
        <v>747</v>
      </c>
    </row>
    <row r="830" spans="1:3" ht="15.6" hidden="1" customHeight="1">
      <c r="A830" s="640"/>
      <c r="B830" s="641">
        <v>71703</v>
      </c>
      <c r="C830" s="646" t="s">
        <v>748</v>
      </c>
    </row>
    <row r="831" spans="1:3" ht="15.6" hidden="1" customHeight="1">
      <c r="A831" s="640"/>
      <c r="B831" s="641">
        <v>71704</v>
      </c>
      <c r="C831" s="646" t="s">
        <v>749</v>
      </c>
    </row>
    <row r="832" spans="1:3" ht="15.6" hidden="1" customHeight="1">
      <c r="A832" s="640"/>
      <c r="B832" s="641">
        <v>71705</v>
      </c>
      <c r="C832" s="646" t="s">
        <v>750</v>
      </c>
    </row>
    <row r="833" spans="1:3" ht="15.6" hidden="1" customHeight="1">
      <c r="A833" s="640"/>
      <c r="B833" s="641">
        <v>71706</v>
      </c>
      <c r="C833" s="646" t="s">
        <v>751</v>
      </c>
    </row>
    <row r="834" spans="1:3" ht="15.6" hidden="1" customHeight="1">
      <c r="A834" s="640"/>
      <c r="B834" s="641">
        <v>71707</v>
      </c>
      <c r="C834" s="646" t="s">
        <v>752</v>
      </c>
    </row>
    <row r="835" spans="1:3" ht="15.6" hidden="1" customHeight="1">
      <c r="A835" s="640"/>
      <c r="B835" s="641">
        <v>71708</v>
      </c>
      <c r="C835" s="646" t="s">
        <v>753</v>
      </c>
    </row>
    <row r="836" spans="1:3" ht="15.6" hidden="1" customHeight="1">
      <c r="A836" s="640"/>
      <c r="B836" s="641">
        <v>71710</v>
      </c>
      <c r="C836" s="646" t="s">
        <v>754</v>
      </c>
    </row>
    <row r="837" spans="1:3" ht="15.6" hidden="1" customHeight="1">
      <c r="A837" s="640"/>
      <c r="B837" s="641">
        <v>71720</v>
      </c>
      <c r="C837" s="646" t="s">
        <v>755</v>
      </c>
    </row>
    <row r="838" spans="1:3">
      <c r="A838" s="640" t="s">
        <v>3787</v>
      </c>
      <c r="B838" s="641">
        <v>71721</v>
      </c>
      <c r="C838" s="646" t="s">
        <v>756</v>
      </c>
    </row>
    <row r="839" spans="1:3" ht="15.6" hidden="1" customHeight="1">
      <c r="A839" s="640"/>
      <c r="B839" s="641">
        <v>71722</v>
      </c>
      <c r="C839" s="646" t="s">
        <v>757</v>
      </c>
    </row>
    <row r="840" spans="1:3" ht="15.6" hidden="1" customHeight="1">
      <c r="A840" s="640"/>
      <c r="B840" s="641">
        <v>71723</v>
      </c>
      <c r="C840" s="646" t="s">
        <v>758</v>
      </c>
    </row>
    <row r="841" spans="1:3" ht="15.6" hidden="1" customHeight="1">
      <c r="A841" s="640"/>
      <c r="B841" s="641">
        <v>71724</v>
      </c>
      <c r="C841" s="646" t="s">
        <v>759</v>
      </c>
    </row>
    <row r="842" spans="1:3" ht="15.6" hidden="1" customHeight="1">
      <c r="A842" s="640"/>
      <c r="B842" s="641">
        <v>71725</v>
      </c>
      <c r="C842" s="646" t="s">
        <v>760</v>
      </c>
    </row>
    <row r="843" spans="1:3" ht="15.6" hidden="1" customHeight="1">
      <c r="A843" s="640"/>
      <c r="B843" s="641">
        <v>71726</v>
      </c>
      <c r="C843" s="646" t="s">
        <v>761</v>
      </c>
    </row>
    <row r="844" spans="1:3" ht="15.6" hidden="1" customHeight="1">
      <c r="A844" s="640"/>
      <c r="B844" s="641">
        <v>71727</v>
      </c>
      <c r="C844" s="646" t="s">
        <v>762</v>
      </c>
    </row>
    <row r="845" spans="1:3" ht="15.6" hidden="1" customHeight="1">
      <c r="A845" s="640"/>
      <c r="B845" s="641">
        <v>71728</v>
      </c>
      <c r="C845" s="646" t="s">
        <v>763</v>
      </c>
    </row>
    <row r="846" spans="1:3" ht="15.6" hidden="1" customHeight="1">
      <c r="A846" s="640"/>
      <c r="B846" s="641">
        <v>71740</v>
      </c>
      <c r="C846" s="646" t="s">
        <v>764</v>
      </c>
    </row>
    <row r="847" spans="1:3" ht="15.6" hidden="1" customHeight="1">
      <c r="A847" s="640"/>
      <c r="B847" s="641">
        <v>71741</v>
      </c>
      <c r="C847" s="646" t="s">
        <v>765</v>
      </c>
    </row>
    <row r="848" spans="1:3" ht="15.6" hidden="1" customHeight="1">
      <c r="A848" s="640"/>
      <c r="B848" s="641">
        <v>71742</v>
      </c>
      <c r="C848" s="646" t="s">
        <v>766</v>
      </c>
    </row>
    <row r="849" spans="1:3" ht="15.6" hidden="1" customHeight="1">
      <c r="A849" s="640"/>
      <c r="B849" s="641">
        <v>71743</v>
      </c>
      <c r="C849" s="646" t="s">
        <v>767</v>
      </c>
    </row>
    <row r="850" spans="1:3" ht="15.6" hidden="1" customHeight="1">
      <c r="A850" s="640"/>
      <c r="B850" s="641">
        <v>71744</v>
      </c>
      <c r="C850" s="646" t="s">
        <v>768</v>
      </c>
    </row>
    <row r="851" spans="1:3" ht="15.6" hidden="1" customHeight="1">
      <c r="A851" s="640"/>
      <c r="B851" s="641">
        <v>71745</v>
      </c>
      <c r="C851" s="646" t="s">
        <v>769</v>
      </c>
    </row>
    <row r="852" spans="1:3" ht="15.6" hidden="1" customHeight="1">
      <c r="A852" s="640"/>
      <c r="B852" s="641">
        <v>71746</v>
      </c>
      <c r="C852" s="646" t="s">
        <v>770</v>
      </c>
    </row>
    <row r="853" spans="1:3" ht="15.6" hidden="1" customHeight="1">
      <c r="A853" s="640"/>
      <c r="B853" s="641">
        <v>71747</v>
      </c>
      <c r="C853" s="646" t="s">
        <v>771</v>
      </c>
    </row>
    <row r="854" spans="1:3" ht="15.6" hidden="1" customHeight="1">
      <c r="A854" s="640"/>
      <c r="B854" s="641">
        <v>71748</v>
      </c>
      <c r="C854" s="646" t="s">
        <v>772</v>
      </c>
    </row>
    <row r="855" spans="1:3" ht="15.6" hidden="1" customHeight="1">
      <c r="A855" s="640"/>
      <c r="B855" s="641">
        <v>71750</v>
      </c>
      <c r="C855" s="646" t="s">
        <v>773</v>
      </c>
    </row>
    <row r="856" spans="1:3" ht="15.6" hidden="1" customHeight="1">
      <c r="A856" s="640"/>
      <c r="B856" s="641"/>
      <c r="C856" s="646"/>
    </row>
    <row r="857" spans="1:3" ht="26.4" hidden="1" customHeight="1">
      <c r="A857" s="640"/>
      <c r="B857" s="641">
        <v>71761</v>
      </c>
      <c r="C857" s="646" t="s">
        <v>2200</v>
      </c>
    </row>
    <row r="858" spans="1:3" ht="15.6" hidden="1" customHeight="1">
      <c r="A858" s="640"/>
      <c r="B858" s="641">
        <v>71764</v>
      </c>
      <c r="C858" s="646" t="s">
        <v>775</v>
      </c>
    </row>
    <row r="859" spans="1:3" ht="15.6" hidden="1" customHeight="1">
      <c r="A859" s="640"/>
      <c r="B859" s="641">
        <v>71765</v>
      </c>
      <c r="C859" s="646" t="s">
        <v>776</v>
      </c>
    </row>
    <row r="860" spans="1:3" ht="15.6" hidden="1" customHeight="1">
      <c r="A860" s="640"/>
      <c r="B860" s="641">
        <v>71768</v>
      </c>
      <c r="C860" s="646" t="s">
        <v>777</v>
      </c>
    </row>
    <row r="861" spans="1:3" ht="15.6" hidden="1" customHeight="1">
      <c r="A861" s="640"/>
      <c r="B861" s="641">
        <v>71773</v>
      </c>
      <c r="C861" s="646" t="s">
        <v>778</v>
      </c>
    </row>
    <row r="862" spans="1:3" ht="15.6" hidden="1" customHeight="1">
      <c r="A862" s="640"/>
      <c r="B862" s="641">
        <v>71774</v>
      </c>
      <c r="C862" s="646" t="s">
        <v>779</v>
      </c>
    </row>
    <row r="863" spans="1:3" ht="15.6" hidden="1" customHeight="1">
      <c r="A863" s="640"/>
      <c r="B863" s="641">
        <v>71776</v>
      </c>
      <c r="C863" s="646" t="s">
        <v>780</v>
      </c>
    </row>
    <row r="864" spans="1:3" ht="15.6" hidden="1" customHeight="1">
      <c r="A864" s="640"/>
      <c r="B864" s="641">
        <v>71777</v>
      </c>
      <c r="C864" s="646" t="s">
        <v>781</v>
      </c>
    </row>
    <row r="865" spans="1:3" ht="15.6" hidden="1" customHeight="1">
      <c r="A865" s="640"/>
      <c r="B865" s="641">
        <v>71780</v>
      </c>
      <c r="C865" s="646" t="s">
        <v>782</v>
      </c>
    </row>
    <row r="866" spans="1:3" ht="15.6" hidden="1" customHeight="1">
      <c r="A866" s="640"/>
      <c r="B866" s="641">
        <v>71791</v>
      </c>
      <c r="C866" s="646" t="s">
        <v>783</v>
      </c>
    </row>
    <row r="867" spans="1:3" ht="15.6" hidden="1" customHeight="1">
      <c r="A867" s="640"/>
      <c r="B867" s="641">
        <v>71795</v>
      </c>
      <c r="C867" s="646" t="s">
        <v>784</v>
      </c>
    </row>
    <row r="868" spans="1:3" ht="15.6" hidden="1" customHeight="1">
      <c r="A868" s="640"/>
      <c r="B868" s="641">
        <v>71796</v>
      </c>
      <c r="C868" s="646" t="s">
        <v>785</v>
      </c>
    </row>
    <row r="869" spans="1:3" ht="15.6" hidden="1" customHeight="1">
      <c r="A869" s="640"/>
      <c r="B869" s="641">
        <v>71801</v>
      </c>
      <c r="C869" s="646" t="s">
        <v>786</v>
      </c>
    </row>
    <row r="870" spans="1:3" ht="15.6" hidden="1" customHeight="1">
      <c r="A870" s="640"/>
      <c r="B870" s="641">
        <v>71805</v>
      </c>
      <c r="C870" s="646" t="s">
        <v>787</v>
      </c>
    </row>
    <row r="871" spans="1:3" ht="15.6" hidden="1" customHeight="1">
      <c r="A871" s="640"/>
      <c r="B871" s="641">
        <v>71820</v>
      </c>
      <c r="C871" s="646" t="s">
        <v>788</v>
      </c>
    </row>
    <row r="872" spans="1:3" ht="15.6" hidden="1" customHeight="1">
      <c r="A872" s="640"/>
      <c r="B872" s="641">
        <v>71821</v>
      </c>
      <c r="C872" s="646" t="s">
        <v>789</v>
      </c>
    </row>
    <row r="873" spans="1:3" ht="15.6" hidden="1" customHeight="1">
      <c r="A873" s="640"/>
      <c r="B873" s="641">
        <v>71822</v>
      </c>
      <c r="C873" s="646" t="s">
        <v>790</v>
      </c>
    </row>
    <row r="874" spans="1:3" ht="15.6" hidden="1" customHeight="1">
      <c r="A874" s="640"/>
      <c r="B874" s="641">
        <v>71823</v>
      </c>
      <c r="C874" s="646" t="s">
        <v>791</v>
      </c>
    </row>
    <row r="875" spans="1:3" ht="15.6" hidden="1" customHeight="1">
      <c r="A875" s="640"/>
      <c r="B875" s="641">
        <v>71824</v>
      </c>
      <c r="C875" s="646" t="s">
        <v>792</v>
      </c>
    </row>
    <row r="876" spans="1:3" ht="15.6" hidden="1" customHeight="1">
      <c r="A876" s="640"/>
      <c r="B876" s="641">
        <v>71825</v>
      </c>
      <c r="C876" s="646" t="s">
        <v>793</v>
      </c>
    </row>
    <row r="877" spans="1:3" ht="15.6" hidden="1" customHeight="1">
      <c r="A877" s="640"/>
      <c r="B877" s="641">
        <v>71826</v>
      </c>
      <c r="C877" s="646" t="s">
        <v>794</v>
      </c>
    </row>
    <row r="878" spans="1:3" ht="15.6" hidden="1" customHeight="1">
      <c r="A878" s="640"/>
      <c r="B878" s="641">
        <v>71827</v>
      </c>
      <c r="C878" s="646" t="s">
        <v>795</v>
      </c>
    </row>
    <row r="879" spans="1:3" ht="30.75" hidden="1" customHeight="1">
      <c r="A879" s="640"/>
      <c r="B879" s="641">
        <v>71831</v>
      </c>
      <c r="C879" s="646" t="s">
        <v>796</v>
      </c>
    </row>
    <row r="880" spans="1:3" ht="26.4" hidden="1" customHeight="1">
      <c r="A880" s="640"/>
      <c r="B880" s="641">
        <v>71833</v>
      </c>
      <c r="C880" s="646" t="s">
        <v>797</v>
      </c>
    </row>
    <row r="881" spans="1:3" ht="15.6" hidden="1" customHeight="1">
      <c r="A881" s="640"/>
      <c r="B881" s="641">
        <v>71835</v>
      </c>
      <c r="C881" s="646" t="s">
        <v>798</v>
      </c>
    </row>
    <row r="882" spans="1:3" ht="15.6" hidden="1" customHeight="1">
      <c r="A882" s="640"/>
      <c r="B882" s="641">
        <v>71837</v>
      </c>
      <c r="C882" s="646" t="s">
        <v>799</v>
      </c>
    </row>
    <row r="883" spans="1:3" ht="15.6" hidden="1" customHeight="1">
      <c r="A883" s="640"/>
      <c r="B883" s="641">
        <v>71838</v>
      </c>
      <c r="C883" s="646" t="s">
        <v>800</v>
      </c>
    </row>
    <row r="884" spans="1:3" ht="15.6" hidden="1" customHeight="1">
      <c r="A884" s="640"/>
      <c r="B884" s="641">
        <v>71840</v>
      </c>
      <c r="C884" s="646" t="s">
        <v>801</v>
      </c>
    </row>
    <row r="885" spans="1:3" ht="15.6" hidden="1" customHeight="1">
      <c r="A885" s="640"/>
      <c r="B885" s="641">
        <v>71841</v>
      </c>
      <c r="C885" s="646" t="s">
        <v>802</v>
      </c>
    </row>
    <row r="886" spans="1:3" ht="15.6" hidden="1" customHeight="1">
      <c r="A886" s="640"/>
      <c r="B886" s="641">
        <v>71850</v>
      </c>
      <c r="C886" s="646" t="s">
        <v>803</v>
      </c>
    </row>
    <row r="887" spans="1:3" ht="15.6" hidden="1" customHeight="1">
      <c r="A887" s="640"/>
      <c r="B887" s="641">
        <v>71851</v>
      </c>
      <c r="C887" s="646" t="s">
        <v>804</v>
      </c>
    </row>
    <row r="888" spans="1:3">
      <c r="A888" s="640" t="s">
        <v>3788</v>
      </c>
      <c r="B888" s="641">
        <v>71860</v>
      </c>
      <c r="C888" s="646" t="s">
        <v>805</v>
      </c>
    </row>
    <row r="889" spans="1:3">
      <c r="A889" s="640" t="s">
        <v>3789</v>
      </c>
      <c r="B889" s="641">
        <v>71861</v>
      </c>
      <c r="C889" s="646" t="s">
        <v>806</v>
      </c>
    </row>
    <row r="890" spans="1:3" ht="15.6" hidden="1" customHeight="1">
      <c r="A890" s="640"/>
      <c r="B890" s="641">
        <v>71862</v>
      </c>
      <c r="C890" s="646" t="s">
        <v>807</v>
      </c>
    </row>
    <row r="891" spans="1:3" ht="15.6" hidden="1" customHeight="1">
      <c r="A891" s="640"/>
      <c r="B891" s="641">
        <v>71863</v>
      </c>
      <c r="C891" s="646" t="s">
        <v>808</v>
      </c>
    </row>
    <row r="892" spans="1:3" ht="15.6" hidden="1" customHeight="1">
      <c r="A892" s="640"/>
      <c r="B892" s="641">
        <v>71864</v>
      </c>
      <c r="C892" s="646" t="s">
        <v>809</v>
      </c>
    </row>
    <row r="893" spans="1:3" ht="15.6" hidden="1" customHeight="1">
      <c r="A893" s="640"/>
      <c r="B893" s="641">
        <v>71870</v>
      </c>
      <c r="C893" s="646" t="s">
        <v>810</v>
      </c>
    </row>
    <row r="894" spans="1:3" ht="15.6" hidden="1" customHeight="1">
      <c r="A894" s="640"/>
      <c r="B894" s="641">
        <v>71871</v>
      </c>
      <c r="C894" s="646" t="s">
        <v>811</v>
      </c>
    </row>
    <row r="895" spans="1:3">
      <c r="A895" s="640" t="s">
        <v>3790</v>
      </c>
      <c r="B895" s="641">
        <v>71872</v>
      </c>
      <c r="C895" s="646" t="s">
        <v>812</v>
      </c>
    </row>
    <row r="896" spans="1:3" ht="15.6" hidden="1" customHeight="1">
      <c r="A896" s="640" t="str">
        <f>IF('[2]Memória de Cálculo'!A1327&gt;0,'[2]Memória de Cálculo'!A1327,"")</f>
        <v/>
      </c>
      <c r="B896" s="641">
        <v>71880</v>
      </c>
      <c r="C896" s="646" t="s">
        <v>2201</v>
      </c>
    </row>
    <row r="897" spans="1:3" ht="15.6" hidden="1" customHeight="1">
      <c r="A897" s="640" t="str">
        <f>IF('[2]Memória de Cálculo'!A1328&gt;0,'[2]Memória de Cálculo'!A1328,"")</f>
        <v/>
      </c>
      <c r="B897" s="641">
        <v>71885</v>
      </c>
      <c r="C897" s="646" t="s">
        <v>814</v>
      </c>
    </row>
    <row r="898" spans="1:3" ht="15.6" hidden="1" customHeight="1">
      <c r="A898" s="640" t="str">
        <f>IF('[2]Memória de Cálculo'!A1329&gt;0,'[2]Memória de Cálculo'!A1329,"")</f>
        <v/>
      </c>
      <c r="B898" s="641">
        <v>71886</v>
      </c>
      <c r="C898" s="646" t="s">
        <v>815</v>
      </c>
    </row>
    <row r="899" spans="1:3" ht="15.6" hidden="1" customHeight="1">
      <c r="A899" s="640" t="str">
        <f>IF('[2]Memória de Cálculo'!A1330&gt;0,'[2]Memória de Cálculo'!A1330,"")</f>
        <v/>
      </c>
      <c r="B899" s="641">
        <v>71887</v>
      </c>
      <c r="C899" s="646" t="s">
        <v>816</v>
      </c>
    </row>
    <row r="900" spans="1:3" ht="15.6" hidden="1" customHeight="1">
      <c r="A900" s="640" t="str">
        <f>IF('[2]Memória de Cálculo'!A1331&gt;0,'[2]Memória de Cálculo'!A1331,"")</f>
        <v/>
      </c>
      <c r="B900" s="641">
        <v>71973</v>
      </c>
      <c r="C900" s="646" t="s">
        <v>817</v>
      </c>
    </row>
    <row r="901" spans="1:3" ht="15.6" hidden="1" customHeight="1">
      <c r="A901" s="640" t="str">
        <f>IF('[2]Memória de Cálculo'!A1332&gt;0,'[2]Memória de Cálculo'!A1332,"")</f>
        <v>5.35</v>
      </c>
      <c r="B901" s="641">
        <v>71980</v>
      </c>
      <c r="C901" s="646" t="s">
        <v>818</v>
      </c>
    </row>
    <row r="902" spans="1:3">
      <c r="A902" s="640" t="s">
        <v>3791</v>
      </c>
      <c r="B902" s="641">
        <v>71981</v>
      </c>
      <c r="C902" s="646" t="s">
        <v>819</v>
      </c>
    </row>
    <row r="903" spans="1:3" ht="15.6" hidden="1" customHeight="1">
      <c r="A903" s="640" t="str">
        <f>IF('[2]Memória de Cálculo'!A1337&gt;0,'[2]Memória de Cálculo'!A1337,"")</f>
        <v/>
      </c>
      <c r="B903" s="641">
        <v>71982</v>
      </c>
      <c r="C903" s="646" t="s">
        <v>820</v>
      </c>
    </row>
    <row r="904" spans="1:3" ht="15.6" hidden="1" customHeight="1">
      <c r="A904" s="640" t="str">
        <f>IF('[2]Memória de Cálculo'!A1338&gt;0,'[2]Memória de Cálculo'!A1338,"")</f>
        <v/>
      </c>
      <c r="B904" s="641">
        <v>71983</v>
      </c>
      <c r="C904" s="646" t="s">
        <v>821</v>
      </c>
    </row>
    <row r="905" spans="1:3" ht="39.6" hidden="1" customHeight="1">
      <c r="A905" s="640" t="str">
        <f>IF('[2]Memória de Cálculo'!A1339&gt;0,'[2]Memória de Cálculo'!A1339,"")</f>
        <v/>
      </c>
      <c r="B905" s="641">
        <v>71991</v>
      </c>
      <c r="C905" s="646" t="s">
        <v>822</v>
      </c>
    </row>
    <row r="906" spans="1:3" ht="39.6" hidden="1" customHeight="1">
      <c r="A906" s="640" t="str">
        <f>IF('[2]Memória de Cálculo'!A1340&gt;0,'[2]Memória de Cálculo'!A1340,"")</f>
        <v/>
      </c>
      <c r="B906" s="641">
        <v>71992</v>
      </c>
      <c r="C906" s="646" t="s">
        <v>823</v>
      </c>
    </row>
    <row r="907" spans="1:3" ht="39.6" hidden="1" customHeight="1">
      <c r="A907" s="640" t="str">
        <f>IF('[2]Memória de Cálculo'!A1341&gt;0,'[2]Memória de Cálculo'!A1341,"")</f>
        <v/>
      </c>
      <c r="B907" s="641">
        <v>71993</v>
      </c>
      <c r="C907" s="646" t="s">
        <v>824</v>
      </c>
    </row>
    <row r="908" spans="1:3" ht="15.6" hidden="1" customHeight="1">
      <c r="A908" s="640" t="str">
        <f>IF('[2]Memória de Cálculo'!A1342&gt;0,'[2]Memória de Cálculo'!A1342,"")</f>
        <v/>
      </c>
      <c r="B908" s="641">
        <v>71995</v>
      </c>
      <c r="C908" s="646" t="s">
        <v>825</v>
      </c>
    </row>
    <row r="909" spans="1:3" ht="26.4" hidden="1" customHeight="1">
      <c r="A909" s="640" t="str">
        <f>IF('[2]Memória de Cálculo'!A1343&gt;0,'[2]Memória de Cálculo'!A1343,"")</f>
        <v/>
      </c>
      <c r="B909" s="641">
        <v>71996</v>
      </c>
      <c r="C909" s="646" t="s">
        <v>826</v>
      </c>
    </row>
    <row r="910" spans="1:3" ht="26.4" hidden="1" customHeight="1">
      <c r="A910" s="640" t="str">
        <f>IF('[2]Memória de Cálculo'!A1344&gt;0,'[2]Memória de Cálculo'!A1344,"")</f>
        <v/>
      </c>
      <c r="B910" s="641">
        <v>71997</v>
      </c>
      <c r="C910" s="646" t="s">
        <v>827</v>
      </c>
    </row>
    <row r="911" spans="1:3" ht="26.4" hidden="1" customHeight="1">
      <c r="A911" s="640" t="str">
        <f>IF('[2]Memória de Cálculo'!A1345&gt;0,'[2]Memória de Cálculo'!A1345,"")</f>
        <v/>
      </c>
      <c r="B911" s="641">
        <v>71998</v>
      </c>
      <c r="C911" s="646" t="s">
        <v>828</v>
      </c>
    </row>
    <row r="912" spans="1:3" ht="26.4" hidden="1" customHeight="1">
      <c r="A912" s="640" t="str">
        <f>IF('[2]Memória de Cálculo'!A1346&gt;0,'[2]Memória de Cálculo'!A1346,"")</f>
        <v/>
      </c>
      <c r="B912" s="641">
        <v>71999</v>
      </c>
      <c r="C912" s="646" t="s">
        <v>829</v>
      </c>
    </row>
    <row r="913" spans="1:3" ht="15.6" hidden="1" customHeight="1">
      <c r="A913" s="640" t="str">
        <f>IF('[2]Memória de Cálculo'!A1347&gt;0,'[2]Memória de Cálculo'!A1347,"")</f>
        <v/>
      </c>
      <c r="B913" s="641">
        <v>72000</v>
      </c>
      <c r="C913" s="646" t="s">
        <v>830</v>
      </c>
    </row>
    <row r="914" spans="1:3" ht="15.6" hidden="1" customHeight="1">
      <c r="A914" s="640" t="str">
        <f>IF('[2]Memória de Cálculo'!A1348&gt;0,'[2]Memória de Cálculo'!A1348,"")</f>
        <v/>
      </c>
      <c r="B914" s="641">
        <v>72001</v>
      </c>
      <c r="C914" s="646" t="s">
        <v>831</v>
      </c>
    </row>
    <row r="915" spans="1:3" ht="15.6" hidden="1" customHeight="1">
      <c r="A915" s="640" t="str">
        <f>IF('[2]Memória de Cálculo'!A1349&gt;0,'[2]Memória de Cálculo'!A1349,"")</f>
        <v/>
      </c>
      <c r="B915" s="641">
        <v>72005</v>
      </c>
      <c r="C915" s="646" t="s">
        <v>832</v>
      </c>
    </row>
    <row r="916" spans="1:3" ht="15.6" hidden="1" customHeight="1">
      <c r="A916" s="640" t="str">
        <f>IF('[2]Memória de Cálculo'!A1350&gt;0,'[2]Memória de Cálculo'!A1350,"")</f>
        <v/>
      </c>
      <c r="B916" s="641">
        <v>72010</v>
      </c>
      <c r="C916" s="646" t="s">
        <v>833</v>
      </c>
    </row>
    <row r="917" spans="1:3" ht="15.6" hidden="1" customHeight="1">
      <c r="A917" s="640" t="str">
        <f>IF('[2]Memória de Cálculo'!A1351&gt;0,'[2]Memória de Cálculo'!A1351,"")</f>
        <v/>
      </c>
      <c r="B917" s="641">
        <v>72015</v>
      </c>
      <c r="C917" s="646" t="s">
        <v>834</v>
      </c>
    </row>
    <row r="918" spans="1:3" ht="15.6" hidden="1" customHeight="1">
      <c r="A918" s="640" t="str">
        <f>IF('[2]Memória de Cálculo'!A1352&gt;0,'[2]Memória de Cálculo'!A1352,"")</f>
        <v/>
      </c>
      <c r="B918" s="641">
        <v>72020</v>
      </c>
      <c r="C918" s="646" t="s">
        <v>835</v>
      </c>
    </row>
    <row r="919" spans="1:3" ht="15.6" hidden="1" customHeight="1">
      <c r="A919" s="640" t="str">
        <f>IF('[2]Memória de Cálculo'!A1353&gt;0,'[2]Memória de Cálculo'!A1353,"")</f>
        <v/>
      </c>
      <c r="B919" s="641">
        <v>72025</v>
      </c>
      <c r="C919" s="646" t="s">
        <v>836</v>
      </c>
    </row>
    <row r="920" spans="1:3" ht="15.6" hidden="1" customHeight="1">
      <c r="A920" s="640" t="str">
        <f>IF('[2]Memória de Cálculo'!A1354&gt;0,'[2]Memória de Cálculo'!A1354,"")</f>
        <v/>
      </c>
      <c r="B920" s="641">
        <v>72030</v>
      </c>
      <c r="C920" s="646" t="s">
        <v>837</v>
      </c>
    </row>
    <row r="921" spans="1:3" ht="15.6" hidden="1" customHeight="1">
      <c r="A921" s="640" t="str">
        <f>IF('[2]Memória de Cálculo'!A1355&gt;0,'[2]Memória de Cálculo'!A1355,"")</f>
        <v/>
      </c>
      <c r="B921" s="641">
        <v>72035</v>
      </c>
      <c r="C921" s="646" t="s">
        <v>838</v>
      </c>
    </row>
    <row r="922" spans="1:3" ht="15.6" hidden="1" customHeight="1">
      <c r="A922" s="640" t="str">
        <f>IF('[2]Memória de Cálculo'!A1356&gt;0,'[2]Memória de Cálculo'!A1356,"")</f>
        <v/>
      </c>
      <c r="B922" s="641">
        <v>72040</v>
      </c>
      <c r="C922" s="646" t="s">
        <v>839</v>
      </c>
    </row>
    <row r="923" spans="1:3" ht="15.6" hidden="1" customHeight="1">
      <c r="A923" s="640" t="str">
        <f>IF('[2]Memória de Cálculo'!A1357&gt;0,'[2]Memória de Cálculo'!A1357,"")</f>
        <v/>
      </c>
      <c r="B923" s="641">
        <v>72042</v>
      </c>
      <c r="C923" s="646" t="s">
        <v>840</v>
      </c>
    </row>
    <row r="924" spans="1:3" ht="15.6" hidden="1" customHeight="1">
      <c r="A924" s="640" t="str">
        <f>IF('[2]Memória de Cálculo'!A1358&gt;0,'[2]Memória de Cálculo'!A1358,"")</f>
        <v/>
      </c>
      <c r="B924" s="641">
        <v>72060</v>
      </c>
      <c r="C924" s="646" t="s">
        <v>841</v>
      </c>
    </row>
    <row r="925" spans="1:3" ht="15.6" hidden="1" customHeight="1">
      <c r="A925" s="640" t="str">
        <f>IF('[2]Memória de Cálculo'!A1359&gt;0,'[2]Memória de Cálculo'!A1359,"")</f>
        <v/>
      </c>
      <c r="B925" s="641">
        <v>72061</v>
      </c>
      <c r="C925" s="646" t="s">
        <v>842</v>
      </c>
    </row>
    <row r="926" spans="1:3" ht="15.6" hidden="1" customHeight="1">
      <c r="A926" s="640" t="str">
        <f>IF('[2]Memória de Cálculo'!A1360&gt;0,'[2]Memória de Cálculo'!A1360,"")</f>
        <v/>
      </c>
      <c r="B926" s="641">
        <v>72062</v>
      </c>
      <c r="C926" s="646" t="s">
        <v>843</v>
      </c>
    </row>
    <row r="927" spans="1:3" ht="15.6" hidden="1" customHeight="1">
      <c r="A927" s="640" t="str">
        <f>IF('[2]Memória de Cálculo'!A1361&gt;0,'[2]Memória de Cálculo'!A1361,"")</f>
        <v/>
      </c>
      <c r="B927" s="641">
        <v>72080</v>
      </c>
      <c r="C927" s="646" t="s">
        <v>844</v>
      </c>
    </row>
    <row r="928" spans="1:3" ht="15.6" hidden="1" customHeight="1">
      <c r="A928" s="640" t="str">
        <f>IF('[2]Memória de Cálculo'!A1362&gt;0,'[2]Memória de Cálculo'!A1362,"")</f>
        <v/>
      </c>
      <c r="B928" s="641">
        <v>72085</v>
      </c>
      <c r="C928" s="646" t="s">
        <v>846</v>
      </c>
    </row>
    <row r="929" spans="1:3" ht="15.6" hidden="1" customHeight="1">
      <c r="A929" s="640" t="str">
        <f>IF('[2]Memória de Cálculo'!A1363&gt;0,'[2]Memória de Cálculo'!A1363,"")</f>
        <v/>
      </c>
      <c r="B929" s="641">
        <v>72145</v>
      </c>
      <c r="C929" s="646" t="s">
        <v>847</v>
      </c>
    </row>
    <row r="930" spans="1:3" ht="15.6" hidden="1" customHeight="1">
      <c r="A930" s="640" t="str">
        <f>IF('[2]Memória de Cálculo'!A1364&gt;0,'[2]Memória de Cálculo'!A1364,"")</f>
        <v/>
      </c>
      <c r="B930" s="641">
        <v>72160</v>
      </c>
      <c r="C930" s="646" t="s">
        <v>848</v>
      </c>
    </row>
    <row r="931" spans="1:3" ht="15.6" hidden="1" customHeight="1">
      <c r="A931" s="640" t="str">
        <f>IF('[2]Memória de Cálculo'!A1365&gt;0,'[2]Memória de Cálculo'!A1365,"")</f>
        <v/>
      </c>
      <c r="B931" s="641">
        <v>72170</v>
      </c>
      <c r="C931" s="646" t="s">
        <v>849</v>
      </c>
    </row>
    <row r="932" spans="1:3" ht="15.6" hidden="1" customHeight="1">
      <c r="A932" s="640" t="str">
        <f>IF('[2]Memória de Cálculo'!A1366&gt;0,'[2]Memória de Cálculo'!A1366,"")</f>
        <v>5.36</v>
      </c>
      <c r="B932" s="641">
        <v>72171</v>
      </c>
      <c r="C932" s="646" t="s">
        <v>850</v>
      </c>
    </row>
    <row r="933" spans="1:3">
      <c r="A933" s="640" t="s">
        <v>3792</v>
      </c>
      <c r="B933" s="641">
        <v>72172</v>
      </c>
      <c r="C933" s="646" t="s">
        <v>851</v>
      </c>
    </row>
    <row r="934" spans="1:3" ht="15.6" hidden="1" customHeight="1">
      <c r="A934" s="640" t="str">
        <f>IF('[2]Memória de Cálculo'!A1370&gt;0,'[2]Memória de Cálculo'!A1370,"")</f>
        <v/>
      </c>
      <c r="B934" s="641">
        <v>72173</v>
      </c>
      <c r="C934" s="646" t="s">
        <v>852</v>
      </c>
    </row>
    <row r="935" spans="1:3" ht="15.6" hidden="1" customHeight="1">
      <c r="A935" s="640" t="str">
        <f>IF('[2]Memória de Cálculo'!A1371&gt;0,'[2]Memória de Cálculo'!A1371,"")</f>
        <v/>
      </c>
      <c r="B935" s="641">
        <v>72190</v>
      </c>
      <c r="C935" s="646" t="s">
        <v>853</v>
      </c>
    </row>
    <row r="936" spans="1:3" ht="15.6" hidden="1" customHeight="1">
      <c r="A936" s="640" t="str">
        <f>IF('[2]Memória de Cálculo'!A1372&gt;0,'[2]Memória de Cálculo'!A1372,"")</f>
        <v/>
      </c>
      <c r="B936" s="641">
        <v>72198</v>
      </c>
      <c r="C936" s="646" t="s">
        <v>854</v>
      </c>
    </row>
    <row r="937" spans="1:3" ht="15.6" hidden="1" customHeight="1">
      <c r="A937" s="640" t="str">
        <f>IF('[2]Memória de Cálculo'!A1373&gt;0,'[2]Memória de Cálculo'!A1373,"")</f>
        <v/>
      </c>
      <c r="B937" s="641">
        <v>72201</v>
      </c>
      <c r="C937" s="646" t="s">
        <v>855</v>
      </c>
    </row>
    <row r="938" spans="1:3" ht="15.6" hidden="1" customHeight="1">
      <c r="A938" s="640" t="str">
        <f>IF('[2]Memória de Cálculo'!A1374&gt;0,'[2]Memória de Cálculo'!A1374,"")</f>
        <v/>
      </c>
      <c r="B938" s="641">
        <v>72205</v>
      </c>
      <c r="C938" s="646" t="s">
        <v>856</v>
      </c>
    </row>
    <row r="939" spans="1:3" ht="15.6" hidden="1" customHeight="1">
      <c r="A939" s="640" t="str">
        <f>IF('[2]Memória de Cálculo'!A1375&gt;0,'[2]Memória de Cálculo'!A1375,"")</f>
        <v/>
      </c>
      <c r="B939" s="641">
        <v>72206</v>
      </c>
      <c r="C939" s="646" t="s">
        <v>857</v>
      </c>
    </row>
    <row r="940" spans="1:3" ht="15.6" hidden="1" customHeight="1">
      <c r="A940" s="640" t="str">
        <f>IF('[2]Memória de Cálculo'!A1376&gt;0,'[2]Memória de Cálculo'!A1376,"")</f>
        <v/>
      </c>
      <c r="B940" s="641">
        <v>72226</v>
      </c>
      <c r="C940" s="646" t="s">
        <v>858</v>
      </c>
    </row>
    <row r="941" spans="1:3" ht="15.6" hidden="1" customHeight="1">
      <c r="A941" s="640" t="str">
        <f>IF('[2]Memória de Cálculo'!A1377&gt;0,'[2]Memória de Cálculo'!A1377,"")</f>
        <v/>
      </c>
      <c r="B941" s="641">
        <v>72227</v>
      </c>
      <c r="C941" s="646" t="s">
        <v>859</v>
      </c>
    </row>
    <row r="942" spans="1:3" ht="15.6" hidden="1" customHeight="1">
      <c r="A942" s="640" t="str">
        <f>IF('[2]Memória de Cálculo'!A1378&gt;0,'[2]Memória de Cálculo'!A1378,"")</f>
        <v/>
      </c>
      <c r="B942" s="641">
        <v>72228</v>
      </c>
      <c r="C942" s="646" t="s">
        <v>860</v>
      </c>
    </row>
    <row r="943" spans="1:3" ht="15.6" hidden="1" customHeight="1">
      <c r="A943" s="640" t="str">
        <f>IF('[2]Memória de Cálculo'!A1379&gt;0,'[2]Memória de Cálculo'!A1379,"")</f>
        <v/>
      </c>
      <c r="B943" s="641">
        <v>72230</v>
      </c>
      <c r="C943" s="646" t="s">
        <v>861</v>
      </c>
    </row>
    <row r="944" spans="1:3" ht="15.6" hidden="1" customHeight="1">
      <c r="A944" s="640" t="str">
        <f>IF('[2]Memória de Cálculo'!A1380&gt;0,'[2]Memória de Cálculo'!A1380,"")</f>
        <v/>
      </c>
      <c r="B944" s="641">
        <v>72231</v>
      </c>
      <c r="C944" s="646" t="s">
        <v>862</v>
      </c>
    </row>
    <row r="945" spans="1:3" ht="15.6" hidden="1" customHeight="1">
      <c r="A945" s="640" t="str">
        <f>IF('[2]Memória de Cálculo'!A1381&gt;0,'[2]Memória de Cálculo'!A1381,"")</f>
        <v/>
      </c>
      <c r="B945" s="641">
        <v>72232</v>
      </c>
      <c r="C945" s="646" t="s">
        <v>863</v>
      </c>
    </row>
    <row r="946" spans="1:3" ht="15.6" hidden="1" customHeight="1">
      <c r="A946" s="640" t="str">
        <f>IF('[2]Memória de Cálculo'!A1382&gt;0,'[2]Memória de Cálculo'!A1382,"")</f>
        <v/>
      </c>
      <c r="B946" s="641">
        <v>72233</v>
      </c>
      <c r="C946" s="646" t="s">
        <v>864</v>
      </c>
    </row>
    <row r="947" spans="1:3" ht="15.6" hidden="1" customHeight="1">
      <c r="A947" s="640" t="str">
        <f>IF('[2]Memória de Cálculo'!A1383&gt;0,'[2]Memória de Cálculo'!A1383,"")</f>
        <v/>
      </c>
      <c r="B947" s="641">
        <v>72235</v>
      </c>
      <c r="C947" s="646" t="s">
        <v>865</v>
      </c>
    </row>
    <row r="948" spans="1:3" ht="15.6" hidden="1" customHeight="1">
      <c r="A948" s="640" t="str">
        <f>IF('[2]Memória de Cálculo'!A1384&gt;0,'[2]Memória de Cálculo'!A1384,"")</f>
        <v/>
      </c>
      <c r="B948" s="641">
        <v>72236</v>
      </c>
      <c r="C948" s="646" t="s">
        <v>866</v>
      </c>
    </row>
    <row r="949" spans="1:3" ht="15.6" hidden="1" customHeight="1">
      <c r="A949" s="640" t="str">
        <f>IF('[2]Memória de Cálculo'!A1385&gt;0,'[2]Memória de Cálculo'!A1385,"")</f>
        <v/>
      </c>
      <c r="B949" s="641">
        <v>72237</v>
      </c>
      <c r="C949" s="646" t="s">
        <v>867</v>
      </c>
    </row>
    <row r="950" spans="1:3" ht="15.6" hidden="1" customHeight="1">
      <c r="A950" s="640" t="str">
        <f>IF('[2]Memória de Cálculo'!A1386&gt;0,'[2]Memória de Cálculo'!A1386,"")</f>
        <v/>
      </c>
      <c r="B950" s="641">
        <v>72238</v>
      </c>
      <c r="C950" s="646" t="s">
        <v>868</v>
      </c>
    </row>
    <row r="951" spans="1:3" ht="15.6" hidden="1" customHeight="1">
      <c r="A951" s="640" t="str">
        <f>IF('[2]Memória de Cálculo'!A1387&gt;0,'[2]Memória de Cálculo'!A1387,"")</f>
        <v/>
      </c>
      <c r="B951" s="641">
        <v>72239</v>
      </c>
      <c r="C951" s="646" t="s">
        <v>869</v>
      </c>
    </row>
    <row r="952" spans="1:3" ht="15.6" hidden="1" customHeight="1">
      <c r="A952" s="640" t="str">
        <f>IF('[2]Memória de Cálculo'!A1388&gt;0,'[2]Memória de Cálculo'!A1388,"")</f>
        <v/>
      </c>
      <c r="B952" s="641">
        <v>72240</v>
      </c>
      <c r="C952" s="646" t="s">
        <v>870</v>
      </c>
    </row>
    <row r="953" spans="1:3" ht="15.6" hidden="1" customHeight="1">
      <c r="A953" s="640" t="str">
        <f>IF('[2]Memória de Cálculo'!A1389&gt;0,'[2]Memória de Cálculo'!A1389,"")</f>
        <v/>
      </c>
      <c r="B953" s="641">
        <v>72241</v>
      </c>
      <c r="C953" s="646" t="s">
        <v>871</v>
      </c>
    </row>
    <row r="954" spans="1:3" ht="15.6" hidden="1" customHeight="1">
      <c r="A954" s="640" t="str">
        <f>IF('[2]Memória de Cálculo'!A1390&gt;0,'[2]Memória de Cálculo'!A1390,"")</f>
        <v/>
      </c>
      <c r="B954" s="641">
        <v>72242</v>
      </c>
      <c r="C954" s="646" t="s">
        <v>872</v>
      </c>
    </row>
    <row r="955" spans="1:3" ht="15.6" hidden="1" customHeight="1">
      <c r="A955" s="640" t="str">
        <f>IF('[2]Memória de Cálculo'!A1391&gt;0,'[2]Memória de Cálculo'!A1391,"")</f>
        <v/>
      </c>
      <c r="B955" s="641">
        <v>72243</v>
      </c>
      <c r="C955" s="646" t="s">
        <v>873</v>
      </c>
    </row>
    <row r="956" spans="1:3" ht="15.6" hidden="1" customHeight="1">
      <c r="A956" s="640" t="str">
        <f>IF('[2]Memória de Cálculo'!A1392&gt;0,'[2]Memória de Cálculo'!A1392,"")</f>
        <v/>
      </c>
      <c r="B956" s="641">
        <v>72244</v>
      </c>
      <c r="C956" s="646" t="s">
        <v>874</v>
      </c>
    </row>
    <row r="957" spans="1:3" ht="15.6" hidden="1" customHeight="1">
      <c r="A957" s="640" t="str">
        <f>IF('[2]Memória de Cálculo'!A1393&gt;0,'[2]Memória de Cálculo'!A1393,"")</f>
        <v/>
      </c>
      <c r="B957" s="641">
        <v>72245</v>
      </c>
      <c r="C957" s="646" t="s">
        <v>875</v>
      </c>
    </row>
    <row r="958" spans="1:3" ht="15.6" hidden="1" customHeight="1">
      <c r="A958" s="640" t="str">
        <f>IF('[2]Memória de Cálculo'!A1394&gt;0,'[2]Memória de Cálculo'!A1394,"")</f>
        <v/>
      </c>
      <c r="B958" s="641">
        <v>72250</v>
      </c>
      <c r="C958" s="646" t="s">
        <v>876</v>
      </c>
    </row>
    <row r="959" spans="1:3" ht="15.6" hidden="1" customHeight="1">
      <c r="A959" s="640" t="str">
        <f>IF('[2]Memória de Cálculo'!A1395&gt;0,'[2]Memória de Cálculo'!A1395,"")</f>
        <v/>
      </c>
      <c r="B959" s="641">
        <v>72251</v>
      </c>
      <c r="C959" s="646" t="s">
        <v>877</v>
      </c>
    </row>
    <row r="960" spans="1:3" ht="15.6" hidden="1" customHeight="1">
      <c r="A960" s="640" t="str">
        <f>IF('[2]Memória de Cálculo'!A1396&gt;0,'[2]Memória de Cálculo'!A1396,"")</f>
        <v/>
      </c>
      <c r="B960" s="641">
        <v>72252</v>
      </c>
      <c r="C960" s="646" t="s">
        <v>878</v>
      </c>
    </row>
    <row r="961" spans="1:3" ht="15.6" hidden="1" customHeight="1">
      <c r="A961" s="640" t="str">
        <f>IF('[2]Memória de Cálculo'!A1397&gt;0,'[2]Memória de Cálculo'!A1397,"")</f>
        <v/>
      </c>
      <c r="B961" s="641">
        <v>72267</v>
      </c>
      <c r="C961" s="646" t="s">
        <v>879</v>
      </c>
    </row>
    <row r="962" spans="1:3" ht="15.6" hidden="1" customHeight="1">
      <c r="A962" s="640" t="str">
        <f>IF('[2]Memória de Cálculo'!A1398&gt;0,'[2]Memória de Cálculo'!A1398,"")</f>
        <v/>
      </c>
      <c r="B962" s="641">
        <v>72268</v>
      </c>
      <c r="C962" s="646" t="s">
        <v>880</v>
      </c>
    </row>
    <row r="963" spans="1:3" ht="15.6" hidden="1" customHeight="1">
      <c r="A963" s="640" t="str">
        <f>IF('[2]Memória de Cálculo'!A1399&gt;0,'[2]Memória de Cálculo'!A1399,"")</f>
        <v/>
      </c>
      <c r="B963" s="641">
        <v>72269</v>
      </c>
      <c r="C963" s="646" t="s">
        <v>881</v>
      </c>
    </row>
    <row r="964" spans="1:3" ht="15.6" hidden="1" customHeight="1">
      <c r="A964" s="640" t="str">
        <f>IF('[2]Memória de Cálculo'!A1400&gt;0,'[2]Memória de Cálculo'!A1400,"")</f>
        <v/>
      </c>
      <c r="B964" s="641">
        <v>72291</v>
      </c>
      <c r="C964" s="646" t="s">
        <v>882</v>
      </c>
    </row>
    <row r="965" spans="1:3" ht="15.6" hidden="1" customHeight="1">
      <c r="A965" s="640" t="str">
        <f>IF('[2]Memória de Cálculo'!A1401&gt;0,'[2]Memória de Cálculo'!A1401,"")</f>
        <v/>
      </c>
      <c r="B965" s="641">
        <v>72300</v>
      </c>
      <c r="C965" s="646" t="s">
        <v>883</v>
      </c>
    </row>
    <row r="966" spans="1:3" ht="15.6" hidden="1" customHeight="1">
      <c r="A966" s="640" t="str">
        <f>IF('[2]Memória de Cálculo'!A1402&gt;0,'[2]Memória de Cálculo'!A1402,"")</f>
        <v/>
      </c>
      <c r="B966" s="641">
        <v>72301</v>
      </c>
      <c r="C966" s="646" t="s">
        <v>884</v>
      </c>
    </row>
    <row r="967" spans="1:3" ht="15.6" hidden="1" customHeight="1">
      <c r="A967" s="640" t="str">
        <f>IF('[2]Memória de Cálculo'!A1403&gt;0,'[2]Memória de Cálculo'!A1403,"")</f>
        <v/>
      </c>
      <c r="B967" s="641">
        <v>72302</v>
      </c>
      <c r="C967" s="646" t="s">
        <v>885</v>
      </c>
    </row>
    <row r="968" spans="1:3" ht="15.6" hidden="1" customHeight="1">
      <c r="A968" s="640" t="str">
        <f>IF('[2]Memória de Cálculo'!A1404&gt;0,'[2]Memória de Cálculo'!A1404,"")</f>
        <v/>
      </c>
      <c r="B968" s="641">
        <v>72303</v>
      </c>
      <c r="C968" s="646" t="s">
        <v>886</v>
      </c>
    </row>
    <row r="969" spans="1:3" ht="15.6" hidden="1" customHeight="1">
      <c r="A969" s="640" t="str">
        <f>IF('[2]Memória de Cálculo'!A1405&gt;0,'[2]Memória de Cálculo'!A1405,"")</f>
        <v/>
      </c>
      <c r="B969" s="641">
        <v>72304</v>
      </c>
      <c r="C969" s="646" t="s">
        <v>887</v>
      </c>
    </row>
    <row r="970" spans="1:3" ht="15.6" hidden="1" customHeight="1">
      <c r="A970" s="640" t="str">
        <f>IF('[2]Memória de Cálculo'!A1406&gt;0,'[2]Memória de Cálculo'!A1406,"")</f>
        <v/>
      </c>
      <c r="B970" s="641">
        <v>72305</v>
      </c>
      <c r="C970" s="646" t="s">
        <v>888</v>
      </c>
    </row>
    <row r="971" spans="1:3" ht="15.6" hidden="1" customHeight="1">
      <c r="A971" s="640" t="str">
        <f>IF('[2]Memória de Cálculo'!A1407&gt;0,'[2]Memória de Cálculo'!A1407,"")</f>
        <v/>
      </c>
      <c r="B971" s="641">
        <v>72306</v>
      </c>
      <c r="C971" s="646" t="s">
        <v>889</v>
      </c>
    </row>
    <row r="972" spans="1:3" ht="15.6" hidden="1" customHeight="1">
      <c r="A972" s="640" t="str">
        <f>IF('[2]Memória de Cálculo'!A1408&gt;0,'[2]Memória de Cálculo'!A1408,"")</f>
        <v/>
      </c>
      <c r="B972" s="641">
        <v>72307</v>
      </c>
      <c r="C972" s="646" t="s">
        <v>890</v>
      </c>
    </row>
    <row r="973" spans="1:3" ht="15.6" hidden="1" customHeight="1">
      <c r="A973" s="640" t="str">
        <f>IF('[2]Memória de Cálculo'!A1409&gt;0,'[2]Memória de Cálculo'!A1409,"")</f>
        <v/>
      </c>
      <c r="B973" s="641">
        <v>72308</v>
      </c>
      <c r="C973" s="646" t="s">
        <v>891</v>
      </c>
    </row>
    <row r="974" spans="1:3" ht="15.6" hidden="1" customHeight="1">
      <c r="A974" s="640" t="str">
        <f>IF('[2]Memória de Cálculo'!A1410&gt;0,'[2]Memória de Cálculo'!A1410,"")</f>
        <v/>
      </c>
      <c r="B974" s="641">
        <v>72309</v>
      </c>
      <c r="C974" s="646" t="s">
        <v>892</v>
      </c>
    </row>
    <row r="975" spans="1:3" ht="15.6" hidden="1" customHeight="1">
      <c r="A975" s="640" t="str">
        <f>IF('[2]Memória de Cálculo'!A1411&gt;0,'[2]Memória de Cálculo'!A1411,"")</f>
        <v/>
      </c>
      <c r="B975" s="641">
        <v>72310</v>
      </c>
      <c r="C975" s="646" t="s">
        <v>893</v>
      </c>
    </row>
    <row r="976" spans="1:3" ht="15.6" hidden="1" customHeight="1">
      <c r="A976" s="640" t="str">
        <f>IF('[2]Memória de Cálculo'!A1412&gt;0,'[2]Memória de Cálculo'!A1412,"")</f>
        <v/>
      </c>
      <c r="B976" s="641">
        <v>72311</v>
      </c>
      <c r="C976" s="646" t="s">
        <v>894</v>
      </c>
    </row>
    <row r="977" spans="1:3" ht="15.6" hidden="1" customHeight="1">
      <c r="A977" s="640" t="str">
        <f>IF('[2]Memória de Cálculo'!A1413&gt;0,'[2]Memória de Cálculo'!A1413,"")</f>
        <v/>
      </c>
      <c r="B977" s="641">
        <v>72312</v>
      </c>
      <c r="C977" s="646" t="s">
        <v>895</v>
      </c>
    </row>
    <row r="978" spans="1:3" ht="15.6" hidden="1" customHeight="1">
      <c r="A978" s="640" t="str">
        <f>IF('[2]Memória de Cálculo'!A1414&gt;0,'[2]Memória de Cálculo'!A1414,"")</f>
        <v/>
      </c>
      <c r="B978" s="641">
        <v>72320</v>
      </c>
      <c r="C978" s="646" t="s">
        <v>896</v>
      </c>
    </row>
    <row r="979" spans="1:3" ht="15.6" hidden="1" customHeight="1">
      <c r="A979" s="640" t="str">
        <f>IF('[2]Memória de Cálculo'!A1415&gt;0,'[2]Memória de Cálculo'!A1415,"")</f>
        <v>5.37</v>
      </c>
      <c r="B979" s="641">
        <v>72325</v>
      </c>
      <c r="C979" s="646" t="s">
        <v>897</v>
      </c>
    </row>
    <row r="980" spans="1:3">
      <c r="A980" s="640" t="s">
        <v>3793</v>
      </c>
      <c r="B980" s="641">
        <v>72326</v>
      </c>
      <c r="C980" s="646" t="s">
        <v>898</v>
      </c>
    </row>
    <row r="981" spans="1:3" ht="15.6" hidden="1" customHeight="1">
      <c r="A981" s="640" t="str">
        <f>IF('[2]Memória de Cálculo'!A1420&gt;0,'[2]Memória de Cálculo'!A1420,"")</f>
        <v/>
      </c>
      <c r="B981" s="641">
        <v>72327</v>
      </c>
      <c r="C981" s="646" t="s">
        <v>899</v>
      </c>
    </row>
    <row r="982" spans="1:3" ht="15.6" hidden="1" customHeight="1">
      <c r="A982" s="640" t="str">
        <f>IF('[2]Memória de Cálculo'!A1421&gt;0,'[2]Memória de Cálculo'!A1421,"")</f>
        <v/>
      </c>
      <c r="B982" s="641">
        <v>72328</v>
      </c>
      <c r="C982" s="646" t="s">
        <v>900</v>
      </c>
    </row>
    <row r="983" spans="1:3" ht="15.6" hidden="1" customHeight="1">
      <c r="A983" s="640" t="str">
        <f>IF('[2]Memória de Cálculo'!A1422&gt;0,'[2]Memória de Cálculo'!A1422,"")</f>
        <v/>
      </c>
      <c r="B983" s="641">
        <v>72329</v>
      </c>
      <c r="C983" s="646" t="s">
        <v>901</v>
      </c>
    </row>
    <row r="984" spans="1:3" ht="15.6" hidden="1" customHeight="1">
      <c r="A984" s="640" t="str">
        <f>IF('[2]Memória de Cálculo'!A1423&gt;0,'[2]Memória de Cálculo'!A1423,"")</f>
        <v/>
      </c>
      <c r="B984" s="641">
        <v>72330</v>
      </c>
      <c r="C984" s="646" t="s">
        <v>902</v>
      </c>
    </row>
    <row r="985" spans="1:3" ht="15.6" hidden="1" customHeight="1">
      <c r="A985" s="640" t="str">
        <f>IF('[2]Memória de Cálculo'!A1424&gt;0,'[2]Memória de Cálculo'!A1424,"")</f>
        <v/>
      </c>
      <c r="B985" s="641">
        <v>72335</v>
      </c>
      <c r="C985" s="646" t="s">
        <v>903</v>
      </c>
    </row>
    <row r="986" spans="1:3" ht="15.6" hidden="1" customHeight="1">
      <c r="A986" s="640" t="str">
        <f>IF('[2]Memória de Cálculo'!A1425&gt;0,'[2]Memória de Cálculo'!A1425,"")</f>
        <v/>
      </c>
      <c r="B986" s="641">
        <v>72338</v>
      </c>
      <c r="C986" s="646" t="s">
        <v>904</v>
      </c>
    </row>
    <row r="987" spans="1:3" ht="15.6" hidden="1" customHeight="1">
      <c r="A987" s="640" t="str">
        <f>IF('[2]Memória de Cálculo'!A1426&gt;0,'[2]Memória de Cálculo'!A1426,"")</f>
        <v/>
      </c>
      <c r="B987" s="641">
        <v>72341</v>
      </c>
      <c r="C987" s="646" t="s">
        <v>2202</v>
      </c>
    </row>
    <row r="988" spans="1:3" ht="15.6" hidden="1" customHeight="1">
      <c r="A988" s="640" t="str">
        <f>IF('[2]Memória de Cálculo'!A1427&gt;0,'[2]Memória de Cálculo'!A1427,"")</f>
        <v/>
      </c>
      <c r="B988" s="641">
        <v>72366</v>
      </c>
      <c r="C988" s="646" t="s">
        <v>906</v>
      </c>
    </row>
    <row r="989" spans="1:3" ht="15.6" hidden="1" customHeight="1">
      <c r="A989" s="640" t="str">
        <f>IF('[2]Memória de Cálculo'!A1428&gt;0,'[2]Memória de Cálculo'!A1428,"")</f>
        <v/>
      </c>
      <c r="B989" s="641">
        <v>72367</v>
      </c>
      <c r="C989" s="646" t="s">
        <v>907</v>
      </c>
    </row>
    <row r="990" spans="1:3" ht="15.6" hidden="1" customHeight="1">
      <c r="A990" s="640" t="str">
        <f>IF('[2]Memória de Cálculo'!A1429&gt;0,'[2]Memória de Cálculo'!A1429,"")</f>
        <v/>
      </c>
      <c r="B990" s="641">
        <v>72368</v>
      </c>
      <c r="C990" s="646" t="s">
        <v>908</v>
      </c>
    </row>
    <row r="991" spans="1:3" ht="15.6" hidden="1" customHeight="1">
      <c r="A991" s="640" t="str">
        <f>IF('[2]Memória de Cálculo'!A1430&gt;0,'[2]Memória de Cálculo'!A1430,"")</f>
        <v/>
      </c>
      <c r="B991" s="641">
        <v>72369</v>
      </c>
      <c r="C991" s="646" t="s">
        <v>909</v>
      </c>
    </row>
    <row r="992" spans="1:3" ht="15.6" hidden="1" customHeight="1">
      <c r="A992" s="640" t="str">
        <f>IF('[2]Memória de Cálculo'!A1431&gt;0,'[2]Memória de Cálculo'!A1431,"")</f>
        <v/>
      </c>
      <c r="B992" s="641">
        <v>72370</v>
      </c>
      <c r="C992" s="646" t="s">
        <v>2203</v>
      </c>
    </row>
    <row r="993" spans="1:3" ht="15.6" hidden="1" customHeight="1">
      <c r="A993" s="640" t="str">
        <f>IF('[2]Memória de Cálculo'!A1432&gt;0,'[2]Memória de Cálculo'!A1432,"")</f>
        <v/>
      </c>
      <c r="B993" s="641">
        <v>72371</v>
      </c>
      <c r="C993" s="646" t="s">
        <v>2204</v>
      </c>
    </row>
    <row r="994" spans="1:3" ht="15.6" hidden="1" customHeight="1">
      <c r="A994" s="640" t="str">
        <f>IF('[2]Memória de Cálculo'!A1433&gt;0,'[2]Memória de Cálculo'!A1433,"")</f>
        <v/>
      </c>
      <c r="B994" s="641">
        <v>72372</v>
      </c>
      <c r="C994" s="646" t="s">
        <v>912</v>
      </c>
    </row>
    <row r="995" spans="1:3" ht="15.6" hidden="1" customHeight="1">
      <c r="A995" s="640" t="str">
        <f>IF('[2]Memória de Cálculo'!A1434&gt;0,'[2]Memória de Cálculo'!A1434,"")</f>
        <v/>
      </c>
      <c r="B995" s="641">
        <v>72373</v>
      </c>
      <c r="C995" s="646" t="s">
        <v>913</v>
      </c>
    </row>
    <row r="996" spans="1:3" ht="15.6" hidden="1" customHeight="1">
      <c r="A996" s="640" t="str">
        <f>IF('[2]Memória de Cálculo'!A1435&gt;0,'[2]Memória de Cálculo'!A1435,"")</f>
        <v/>
      </c>
      <c r="B996" s="641">
        <v>72374</v>
      </c>
      <c r="C996" s="646" t="s">
        <v>2205</v>
      </c>
    </row>
    <row r="997" spans="1:3" ht="15.6" hidden="1" customHeight="1">
      <c r="A997" s="640" t="str">
        <f>IF('[2]Memória de Cálculo'!A1436&gt;0,'[2]Memória de Cálculo'!A1436,"")</f>
        <v/>
      </c>
      <c r="B997" s="641">
        <v>72375</v>
      </c>
      <c r="C997" s="646" t="s">
        <v>2206</v>
      </c>
    </row>
    <row r="998" spans="1:3" ht="15.6" hidden="1" customHeight="1">
      <c r="A998" s="640" t="str">
        <f>IF('[2]Memória de Cálculo'!A1437&gt;0,'[2]Memória de Cálculo'!A1437,"")</f>
        <v/>
      </c>
      <c r="B998" s="641">
        <v>72376</v>
      </c>
      <c r="C998" s="646" t="s">
        <v>916</v>
      </c>
    </row>
    <row r="999" spans="1:3" ht="15.6" hidden="1" customHeight="1">
      <c r="A999" s="640" t="str">
        <f>IF('[2]Memória de Cálculo'!A1438&gt;0,'[2]Memória de Cálculo'!A1438,"")</f>
        <v>5.38</v>
      </c>
      <c r="B999" s="641">
        <v>72385</v>
      </c>
      <c r="C999" s="646" t="s">
        <v>917</v>
      </c>
    </row>
    <row r="1000" spans="1:3">
      <c r="A1000" s="640" t="s">
        <v>3794</v>
      </c>
      <c r="B1000" s="641">
        <v>72395</v>
      </c>
      <c r="C1000" s="646" t="s">
        <v>918</v>
      </c>
    </row>
    <row r="1001" spans="1:3" ht="15.6" hidden="1" customHeight="1">
      <c r="A1001" s="640" t="str">
        <f>IF('[2]Memória de Cálculo'!A1442&gt;0,'[2]Memória de Cálculo'!A1442,"")</f>
        <v/>
      </c>
      <c r="B1001" s="641">
        <v>72397</v>
      </c>
      <c r="C1001" s="646" t="s">
        <v>919</v>
      </c>
    </row>
    <row r="1002" spans="1:3" ht="15.6" hidden="1" customHeight="1">
      <c r="A1002" s="640" t="str">
        <f>IF('[2]Memória de Cálculo'!A1443&gt;0,'[2]Memória de Cálculo'!A1443,"")</f>
        <v/>
      </c>
      <c r="B1002" s="641">
        <v>72400</v>
      </c>
      <c r="C1002" s="646" t="s">
        <v>920</v>
      </c>
    </row>
    <row r="1003" spans="1:3" ht="15.6" hidden="1" customHeight="1">
      <c r="A1003" s="640" t="str">
        <f>IF('[2]Memória de Cálculo'!A1444&gt;0,'[2]Memória de Cálculo'!A1444,"")</f>
        <v/>
      </c>
      <c r="B1003" s="641">
        <v>72420</v>
      </c>
      <c r="C1003" s="646" t="s">
        <v>921</v>
      </c>
    </row>
    <row r="1004" spans="1:3" ht="15.6" hidden="1" customHeight="1">
      <c r="A1004" s="640" t="str">
        <f>IF('[2]Memória de Cálculo'!A1445&gt;0,'[2]Memória de Cálculo'!A1445,"")</f>
        <v/>
      </c>
      <c r="B1004" s="641">
        <v>72425</v>
      </c>
      <c r="C1004" s="646" t="s">
        <v>922</v>
      </c>
    </row>
    <row r="1005" spans="1:3" ht="15.6" hidden="1" customHeight="1">
      <c r="A1005" s="640" t="str">
        <f>IF('[2]Memória de Cálculo'!A1446&gt;0,'[2]Memória de Cálculo'!A1446,"")</f>
        <v/>
      </c>
      <c r="B1005" s="641">
        <v>72430</v>
      </c>
      <c r="C1005" s="646" t="s">
        <v>923</v>
      </c>
    </row>
    <row r="1006" spans="1:3" ht="15.6" hidden="1" customHeight="1">
      <c r="A1006" s="640" t="str">
        <f>IF('[2]Memória de Cálculo'!A1447&gt;0,'[2]Memória de Cálculo'!A1447,"")</f>
        <v/>
      </c>
      <c r="B1006" s="641">
        <v>72435</v>
      </c>
      <c r="C1006" s="646" t="s">
        <v>924</v>
      </c>
    </row>
    <row r="1007" spans="1:3" ht="15.6" hidden="1" customHeight="1">
      <c r="A1007" s="640" t="str">
        <f>IF('[2]Memória de Cálculo'!A1448&gt;0,'[2]Memória de Cálculo'!A1448,"")</f>
        <v/>
      </c>
      <c r="B1007" s="641">
        <v>72441</v>
      </c>
      <c r="C1007" s="646" t="s">
        <v>925</v>
      </c>
    </row>
    <row r="1008" spans="1:3" ht="15.6" hidden="1" customHeight="1">
      <c r="A1008" s="640" t="str">
        <f>IF('[2]Memória de Cálculo'!A1449&gt;0,'[2]Memória de Cálculo'!A1449,"")</f>
        <v/>
      </c>
      <c r="B1008" s="641">
        <v>72442</v>
      </c>
      <c r="C1008" s="646" t="s">
        <v>926</v>
      </c>
    </row>
    <row r="1009" spans="1:3" ht="15.6" hidden="1" customHeight="1">
      <c r="A1009" s="640" t="str">
        <f>IF('[2]Memória de Cálculo'!A1450&gt;0,'[2]Memória de Cálculo'!A1450,"")</f>
        <v/>
      </c>
      <c r="B1009" s="641">
        <v>72450</v>
      </c>
      <c r="C1009" s="646" t="s">
        <v>927</v>
      </c>
    </row>
    <row r="1010" spans="1:3" ht="15.6" hidden="1" customHeight="1">
      <c r="A1010" s="640" t="str">
        <f>IF('[2]Memória de Cálculo'!A1451&gt;0,'[2]Memória de Cálculo'!A1451,"")</f>
        <v/>
      </c>
      <c r="B1010" s="641">
        <v>72455</v>
      </c>
      <c r="C1010" s="646" t="s">
        <v>928</v>
      </c>
    </row>
    <row r="1011" spans="1:3" ht="15.6" hidden="1" customHeight="1">
      <c r="A1011" s="640" t="str">
        <f>IF('[2]Memória de Cálculo'!A1452&gt;0,'[2]Memória de Cálculo'!A1452,"")</f>
        <v>5.39</v>
      </c>
      <c r="B1011" s="641">
        <v>72460</v>
      </c>
      <c r="C1011" s="646" t="s">
        <v>929</v>
      </c>
    </row>
    <row r="1012" spans="1:3">
      <c r="A1012" s="640" t="s">
        <v>3795</v>
      </c>
      <c r="B1012" s="641">
        <v>72465</v>
      </c>
      <c r="C1012" s="646" t="s">
        <v>930</v>
      </c>
    </row>
    <row r="1013" spans="1:3">
      <c r="A1013" s="640" t="s">
        <v>3796</v>
      </c>
      <c r="B1013" s="641">
        <v>72475</v>
      </c>
      <c r="C1013" s="646" t="s">
        <v>931</v>
      </c>
    </row>
    <row r="1014" spans="1:3">
      <c r="A1014" s="640" t="s">
        <v>3797</v>
      </c>
      <c r="B1014" s="641">
        <v>72476</v>
      </c>
      <c r="C1014" s="646" t="s">
        <v>932</v>
      </c>
    </row>
    <row r="1015" spans="1:3" ht="15.6" hidden="1" customHeight="1">
      <c r="A1015" s="640" t="str">
        <f>IF('[2]Memória de Cálculo'!A1464&gt;0,'[2]Memória de Cálculo'!A1464,"")</f>
        <v/>
      </c>
      <c r="B1015" s="641">
        <v>72500</v>
      </c>
      <c r="C1015" s="646" t="s">
        <v>933</v>
      </c>
    </row>
    <row r="1016" spans="1:3" ht="15.6" hidden="1" customHeight="1">
      <c r="A1016" s="640" t="str">
        <f>IF('[2]Memória de Cálculo'!A1465&gt;0,'[2]Memória de Cálculo'!A1465,"")</f>
        <v/>
      </c>
      <c r="B1016" s="641">
        <v>72501</v>
      </c>
      <c r="C1016" s="646" t="s">
        <v>934</v>
      </c>
    </row>
    <row r="1017" spans="1:3" ht="15.6" hidden="1" customHeight="1">
      <c r="A1017" s="640" t="str">
        <f>IF('[2]Memória de Cálculo'!A1466&gt;0,'[2]Memória de Cálculo'!A1466,"")</f>
        <v/>
      </c>
      <c r="B1017" s="641">
        <v>72510</v>
      </c>
      <c r="C1017" s="646" t="s">
        <v>935</v>
      </c>
    </row>
    <row r="1018" spans="1:3" ht="15.6" hidden="1" customHeight="1">
      <c r="A1018" s="640" t="str">
        <f>IF('[2]Memória de Cálculo'!A1467&gt;0,'[2]Memória de Cálculo'!A1467,"")</f>
        <v/>
      </c>
      <c r="B1018" s="641">
        <v>72515</v>
      </c>
      <c r="C1018" s="646" t="s">
        <v>936</v>
      </c>
    </row>
    <row r="1019" spans="1:3" ht="15.6" hidden="1" customHeight="1">
      <c r="A1019" s="640" t="str">
        <f>IF('[2]Memória de Cálculo'!A1468&gt;0,'[2]Memória de Cálculo'!A1468,"")</f>
        <v/>
      </c>
      <c r="B1019" s="641">
        <v>72518</v>
      </c>
      <c r="C1019" s="646" t="s">
        <v>937</v>
      </c>
    </row>
    <row r="1020" spans="1:3" ht="15.6" hidden="1" customHeight="1">
      <c r="A1020" s="640" t="str">
        <f>IF('[2]Memória de Cálculo'!A1469&gt;0,'[2]Memória de Cálculo'!A1469,"")</f>
        <v/>
      </c>
      <c r="B1020" s="641">
        <v>72520</v>
      </c>
      <c r="C1020" s="646" t="s">
        <v>938</v>
      </c>
    </row>
    <row r="1021" spans="1:3" ht="15.6" hidden="1" customHeight="1">
      <c r="A1021" s="640" t="str">
        <f>IF('[2]Memória de Cálculo'!A1470&gt;0,'[2]Memória de Cálculo'!A1470,"")</f>
        <v/>
      </c>
      <c r="B1021" s="641">
        <v>72523</v>
      </c>
      <c r="C1021" s="646" t="s">
        <v>939</v>
      </c>
    </row>
    <row r="1022" spans="1:3" ht="15.6" hidden="1" customHeight="1">
      <c r="A1022" s="640" t="str">
        <f>IF('[2]Memória de Cálculo'!A1471&gt;0,'[2]Memória de Cálculo'!A1471,"")</f>
        <v/>
      </c>
      <c r="B1022" s="641">
        <v>72528</v>
      </c>
      <c r="C1022" s="646" t="s">
        <v>940</v>
      </c>
    </row>
    <row r="1023" spans="1:3" ht="15.6" hidden="1" customHeight="1">
      <c r="A1023" s="640" t="str">
        <f>IF('[2]Memória de Cálculo'!A1472&gt;0,'[2]Memória de Cálculo'!A1472,"")</f>
        <v/>
      </c>
      <c r="B1023" s="641">
        <v>72532</v>
      </c>
      <c r="C1023" s="646" t="s">
        <v>941</v>
      </c>
    </row>
    <row r="1024" spans="1:3" ht="15.6" hidden="1" customHeight="1">
      <c r="A1024" s="640" t="str">
        <f>IF('[2]Memória de Cálculo'!A1473&gt;0,'[2]Memória de Cálculo'!A1473,"")</f>
        <v/>
      </c>
      <c r="B1024" s="641">
        <v>72535</v>
      </c>
      <c r="C1024" s="646" t="s">
        <v>942</v>
      </c>
    </row>
    <row r="1025" spans="1:3" ht="15.6" hidden="1" customHeight="1">
      <c r="A1025" s="640" t="str">
        <f>IF('[2]Memória de Cálculo'!A1474&gt;0,'[2]Memória de Cálculo'!A1474,"")</f>
        <v/>
      </c>
      <c r="B1025" s="641">
        <v>72538</v>
      </c>
      <c r="C1025" s="646" t="s">
        <v>943</v>
      </c>
    </row>
    <row r="1026" spans="1:3" ht="15.6" hidden="1" customHeight="1">
      <c r="A1026" s="640" t="str">
        <f>IF('[2]Memória de Cálculo'!A1475&gt;0,'[2]Memória de Cálculo'!A1475,"")</f>
        <v/>
      </c>
      <c r="B1026" s="641">
        <v>72545</v>
      </c>
      <c r="C1026" s="646" t="s">
        <v>944</v>
      </c>
    </row>
    <row r="1027" spans="1:3" ht="15.6" hidden="1" customHeight="1">
      <c r="A1027" s="640" t="str">
        <f>IF('[2]Memória de Cálculo'!A1476&gt;0,'[2]Memória de Cálculo'!A1476,"")</f>
        <v>5.42</v>
      </c>
      <c r="B1027" s="641">
        <v>72550</v>
      </c>
      <c r="C1027" s="646" t="s">
        <v>945</v>
      </c>
    </row>
    <row r="1028" spans="1:3">
      <c r="A1028" s="640" t="s">
        <v>3798</v>
      </c>
      <c r="B1028" s="641">
        <v>72556</v>
      </c>
      <c r="C1028" s="646" t="s">
        <v>946</v>
      </c>
    </row>
    <row r="1029" spans="1:3" ht="15.6" hidden="1" customHeight="1">
      <c r="A1029" s="640" t="str">
        <f>IF('[2]Memória de Cálculo'!A1481&gt;0,'[2]Memória de Cálculo'!A1481,"")</f>
        <v/>
      </c>
      <c r="B1029" s="641">
        <v>72560</v>
      </c>
      <c r="C1029" s="646" t="s">
        <v>947</v>
      </c>
    </row>
    <row r="1030" spans="1:3" ht="15.6" hidden="1" customHeight="1">
      <c r="A1030" s="640" t="str">
        <f>IF('[2]Memória de Cálculo'!A1482&gt;0,'[2]Memória de Cálculo'!A1482,"")</f>
        <v/>
      </c>
      <c r="B1030" s="641">
        <v>72570</v>
      </c>
      <c r="C1030" s="646" t="s">
        <v>948</v>
      </c>
    </row>
    <row r="1031" spans="1:3" ht="15.6" hidden="1" customHeight="1">
      <c r="A1031" s="640" t="str">
        <f>IF('[2]Memória de Cálculo'!A1483&gt;0,'[2]Memória de Cálculo'!A1483,"")</f>
        <v>5.43</v>
      </c>
      <c r="B1031" s="641">
        <v>72575</v>
      </c>
      <c r="C1031" s="646" t="s">
        <v>949</v>
      </c>
    </row>
    <row r="1032" spans="1:3">
      <c r="A1032" s="640" t="s">
        <v>3799</v>
      </c>
      <c r="B1032" s="641">
        <v>72578</v>
      </c>
      <c r="C1032" s="646" t="s">
        <v>950</v>
      </c>
    </row>
    <row r="1033" spans="1:3">
      <c r="A1033" s="640" t="s">
        <v>3800</v>
      </c>
      <c r="B1033" s="641">
        <v>72579</v>
      </c>
      <c r="C1033" s="646" t="s">
        <v>951</v>
      </c>
    </row>
    <row r="1034" spans="1:3">
      <c r="A1034" s="640" t="s">
        <v>3801</v>
      </c>
      <c r="B1034" s="641">
        <v>72585</v>
      </c>
      <c r="C1034" s="646" t="s">
        <v>952</v>
      </c>
    </row>
    <row r="1035" spans="1:3" ht="15.6" hidden="1" customHeight="1">
      <c r="A1035" s="640" t="str">
        <f>IF('[2]Memória de Cálculo'!A1495&gt;0,'[2]Memória de Cálculo'!A1495,"")</f>
        <v/>
      </c>
      <c r="B1035" s="641">
        <v>72591</v>
      </c>
      <c r="C1035" s="646" t="s">
        <v>953</v>
      </c>
    </row>
    <row r="1036" spans="1:3" ht="15.6" hidden="1" customHeight="1">
      <c r="A1036" s="640" t="str">
        <f>IF('[2]Memória de Cálculo'!A1496&gt;0,'[2]Memória de Cálculo'!A1496,"")</f>
        <v/>
      </c>
      <c r="B1036" s="641">
        <v>72596</v>
      </c>
      <c r="C1036" s="646" t="s">
        <v>954</v>
      </c>
    </row>
    <row r="1037" spans="1:3" ht="15.6" hidden="1" customHeight="1">
      <c r="A1037" s="640" t="str">
        <f>IF('[2]Memória de Cálculo'!A1497&gt;0,'[2]Memória de Cálculo'!A1497,"")</f>
        <v/>
      </c>
      <c r="B1037" s="641">
        <v>72600</v>
      </c>
      <c r="C1037" s="646" t="s">
        <v>955</v>
      </c>
    </row>
    <row r="1038" spans="1:3" ht="15.6" hidden="1" customHeight="1">
      <c r="A1038" s="640" t="str">
        <f>IF('[2]Memória de Cálculo'!A1498&gt;0,'[2]Memória de Cálculo'!A1498,"")</f>
        <v/>
      </c>
      <c r="B1038" s="641">
        <v>72601</v>
      </c>
      <c r="C1038" s="646" t="s">
        <v>956</v>
      </c>
    </row>
    <row r="1039" spans="1:3" ht="15.6" hidden="1" customHeight="1">
      <c r="A1039" s="640" t="str">
        <f>IF('[2]Memória de Cálculo'!A1499&gt;0,'[2]Memória de Cálculo'!A1499,"")</f>
        <v/>
      </c>
      <c r="B1039" s="641">
        <v>72611</v>
      </c>
      <c r="C1039" s="646" t="s">
        <v>957</v>
      </c>
    </row>
    <row r="1040" spans="1:3" ht="15.6" hidden="1" customHeight="1">
      <c r="A1040" s="640" t="str">
        <f>IF('[2]Memória de Cálculo'!A1500&gt;0,'[2]Memória de Cálculo'!A1500,"")</f>
        <v/>
      </c>
      <c r="B1040" s="641">
        <v>72612</v>
      </c>
      <c r="C1040" s="646" t="s">
        <v>958</v>
      </c>
    </row>
    <row r="1041" spans="1:3" ht="15.6" hidden="1" customHeight="1">
      <c r="A1041" s="640" t="str">
        <f>IF('[2]Memória de Cálculo'!A1501&gt;0,'[2]Memória de Cálculo'!A1501,"")</f>
        <v/>
      </c>
      <c r="B1041" s="641">
        <v>72613</v>
      </c>
      <c r="C1041" s="646" t="s">
        <v>959</v>
      </c>
    </row>
    <row r="1042" spans="1:3" ht="15.6" hidden="1" customHeight="1">
      <c r="A1042" s="640" t="str">
        <f>IF('[2]Memória de Cálculo'!A1502&gt;0,'[2]Memória de Cálculo'!A1502,"")</f>
        <v/>
      </c>
      <c r="B1042" s="641">
        <v>72614</v>
      </c>
      <c r="C1042" s="646" t="s">
        <v>960</v>
      </c>
    </row>
    <row r="1043" spans="1:3" ht="15.6" hidden="1" customHeight="1">
      <c r="A1043" s="640" t="str">
        <f>IF('[2]Memória de Cálculo'!A1503&gt;0,'[2]Memória de Cálculo'!A1503,"")</f>
        <v/>
      </c>
      <c r="B1043" s="641">
        <v>72618</v>
      </c>
      <c r="C1043" s="646" t="s">
        <v>961</v>
      </c>
    </row>
    <row r="1044" spans="1:3" ht="15.6" hidden="1" customHeight="1">
      <c r="A1044" s="640" t="str">
        <f>IF('[2]Memória de Cálculo'!A1504&gt;0,'[2]Memória de Cálculo'!A1504,"")</f>
        <v/>
      </c>
      <c r="B1044" s="641">
        <v>72619</v>
      </c>
      <c r="C1044" s="646" t="s">
        <v>962</v>
      </c>
    </row>
    <row r="1045" spans="1:3" ht="15.6" hidden="1" customHeight="1">
      <c r="A1045" s="640" t="str">
        <f>IF('[2]Memória de Cálculo'!A1505&gt;0,'[2]Memória de Cálculo'!A1505,"")</f>
        <v/>
      </c>
      <c r="B1045" s="641">
        <v>72620</v>
      </c>
      <c r="C1045" s="646" t="s">
        <v>963</v>
      </c>
    </row>
    <row r="1046" spans="1:3" ht="15.6" hidden="1" customHeight="1">
      <c r="A1046" s="640" t="str">
        <f>IF('[2]Memória de Cálculo'!A1506&gt;0,'[2]Memória de Cálculo'!A1506,"")</f>
        <v/>
      </c>
      <c r="B1046" s="641">
        <v>72621</v>
      </c>
      <c r="C1046" s="646" t="s">
        <v>964</v>
      </c>
    </row>
    <row r="1047" spans="1:3" ht="15.6" hidden="1" customHeight="1">
      <c r="A1047" s="640" t="str">
        <f>IF('[2]Memória de Cálculo'!A1507&gt;0,'[2]Memória de Cálculo'!A1507,"")</f>
        <v/>
      </c>
      <c r="B1047" s="641">
        <v>72630</v>
      </c>
      <c r="C1047" s="646" t="s">
        <v>2207</v>
      </c>
    </row>
    <row r="1048" spans="1:3" ht="15.6" hidden="1" customHeight="1">
      <c r="A1048" s="640" t="str">
        <f>IF('[2]Memória de Cálculo'!A1508&gt;0,'[2]Memória de Cálculo'!A1508,"")</f>
        <v/>
      </c>
      <c r="B1048" s="641">
        <v>72637</v>
      </c>
      <c r="C1048" s="646" t="s">
        <v>966</v>
      </c>
    </row>
    <row r="1049" spans="1:3" ht="15.6" hidden="1" customHeight="1">
      <c r="A1049" s="640" t="str">
        <f>IF('[2]Memória de Cálculo'!A1509&gt;0,'[2]Memória de Cálculo'!A1509,"")</f>
        <v>5.46</v>
      </c>
      <c r="B1049" s="641">
        <v>72638</v>
      </c>
      <c r="C1049" s="646" t="s">
        <v>2208</v>
      </c>
    </row>
    <row r="1050" spans="1:3">
      <c r="A1050" s="640" t="s">
        <v>3802</v>
      </c>
      <c r="B1050" s="641">
        <v>72660</v>
      </c>
      <c r="C1050" s="646" t="s">
        <v>968</v>
      </c>
    </row>
    <row r="1051" spans="1:3" ht="15.6" hidden="1" customHeight="1">
      <c r="A1051" s="640" t="str">
        <f>IF('[2]Memória de Cálculo'!A1514&gt;0,'[2]Memória de Cálculo'!A1514,"")</f>
        <v>5.47</v>
      </c>
      <c r="B1051" s="641">
        <v>72661</v>
      </c>
      <c r="C1051" s="646" t="s">
        <v>969</v>
      </c>
    </row>
    <row r="1052" spans="1:3">
      <c r="A1052" s="640" t="s">
        <v>3803</v>
      </c>
      <c r="B1052" s="644" t="s">
        <v>2558</v>
      </c>
      <c r="C1052" s="645" t="s">
        <v>2499</v>
      </c>
    </row>
    <row r="1053" spans="1:3">
      <c r="A1053" s="640" t="s">
        <v>3804</v>
      </c>
      <c r="B1053" s="644" t="s">
        <v>2600</v>
      </c>
      <c r="C1053" s="645" t="s">
        <v>2500</v>
      </c>
    </row>
    <row r="1054" spans="1:3">
      <c r="A1054" s="640" t="s">
        <v>3805</v>
      </c>
      <c r="B1054" s="644" t="s">
        <v>2559</v>
      </c>
      <c r="C1054" s="645" t="s">
        <v>2556</v>
      </c>
    </row>
    <row r="1055" spans="1:3">
      <c r="A1055" s="640" t="s">
        <v>3806</v>
      </c>
      <c r="B1055" s="644" t="s">
        <v>2560</v>
      </c>
      <c r="C1055" s="645" t="s">
        <v>2501</v>
      </c>
    </row>
    <row r="1056" spans="1:3">
      <c r="A1056" s="640" t="s">
        <v>3807</v>
      </c>
      <c r="B1056" s="644" t="s">
        <v>2606</v>
      </c>
      <c r="C1056" s="645" t="s">
        <v>3610</v>
      </c>
    </row>
    <row r="1057" spans="1:3">
      <c r="A1057" s="640" t="s">
        <v>3808</v>
      </c>
      <c r="B1057" s="644" t="s">
        <v>2818</v>
      </c>
      <c r="C1057" s="645" t="s">
        <v>2681</v>
      </c>
    </row>
    <row r="1058" spans="1:3">
      <c r="A1058" s="640" t="s">
        <v>3809</v>
      </c>
      <c r="B1058" s="644" t="s">
        <v>2564</v>
      </c>
      <c r="C1058" s="645" t="s">
        <v>3922</v>
      </c>
    </row>
    <row r="1059" spans="1:3">
      <c r="A1059" s="640" t="s">
        <v>3810</v>
      </c>
      <c r="B1059" s="644" t="s">
        <v>2571</v>
      </c>
      <c r="C1059" s="645" t="s">
        <v>2572</v>
      </c>
    </row>
    <row r="1060" spans="1:3">
      <c r="A1060" s="640" t="s">
        <v>3811</v>
      </c>
      <c r="B1060" s="644" t="s">
        <v>2578</v>
      </c>
      <c r="C1060" s="645" t="s">
        <v>2577</v>
      </c>
    </row>
    <row r="1061" spans="1:3">
      <c r="A1061" s="640" t="s">
        <v>3812</v>
      </c>
      <c r="B1061" s="644" t="s">
        <v>2583</v>
      </c>
      <c r="C1061" s="645" t="s">
        <v>2582</v>
      </c>
    </row>
    <row r="1062" spans="1:3">
      <c r="A1062" s="640" t="s">
        <v>3813</v>
      </c>
      <c r="B1062" s="644" t="s">
        <v>2584</v>
      </c>
      <c r="C1062" s="645" t="s">
        <v>3974</v>
      </c>
    </row>
    <row r="1063" spans="1:3" ht="39.6">
      <c r="A1063" s="640" t="s">
        <v>3814</v>
      </c>
      <c r="B1063" s="644" t="s">
        <v>2664</v>
      </c>
      <c r="C1063" s="645" t="s">
        <v>2663</v>
      </c>
    </row>
    <row r="1064" spans="1:3" ht="26.4">
      <c r="A1064" s="640" t="s">
        <v>3815</v>
      </c>
      <c r="B1064" s="644" t="s">
        <v>2819</v>
      </c>
      <c r="C1064" s="645" t="s">
        <v>2665</v>
      </c>
    </row>
    <row r="1065" spans="1:3">
      <c r="A1065" s="648" t="s">
        <v>3816</v>
      </c>
      <c r="B1065" s="644" t="s">
        <v>2594</v>
      </c>
      <c r="C1065" s="645" t="s">
        <v>2801</v>
      </c>
    </row>
    <row r="1066" spans="1:3">
      <c r="A1066" s="640" t="s">
        <v>3817</v>
      </c>
      <c r="B1066" s="644" t="s">
        <v>3911</v>
      </c>
      <c r="C1066" s="645" t="s">
        <v>3611</v>
      </c>
    </row>
    <row r="1067" spans="1:3">
      <c r="A1067" s="640" t="s">
        <v>3818</v>
      </c>
      <c r="B1067" s="644" t="s">
        <v>3382</v>
      </c>
      <c r="C1067" s="645" t="s">
        <v>3383</v>
      </c>
    </row>
    <row r="1068" spans="1:3" ht="145.19999999999999">
      <c r="A1068" s="640"/>
      <c r="B1068" s="644"/>
      <c r="C1068" s="645" t="s">
        <v>4037</v>
      </c>
    </row>
    <row r="1069" spans="1:3" ht="15.6">
      <c r="A1069" s="637">
        <v>6</v>
      </c>
      <c r="B1069" s="638">
        <v>80000</v>
      </c>
      <c r="C1069" s="639" t="s">
        <v>970</v>
      </c>
    </row>
    <row r="1070" spans="1:3" ht="15.6">
      <c r="A1070" s="649"/>
      <c r="B1070" s="650">
        <v>80500</v>
      </c>
      <c r="C1070" s="651" t="s">
        <v>971</v>
      </c>
    </row>
    <row r="1071" spans="1:3" ht="15.6" hidden="1" customHeight="1">
      <c r="A1071" s="649"/>
      <c r="B1071" s="650">
        <v>80501</v>
      </c>
      <c r="C1071" s="651" t="s">
        <v>2209</v>
      </c>
    </row>
    <row r="1072" spans="1:3" ht="15.6" hidden="1" customHeight="1">
      <c r="A1072" s="640" t="str">
        <f>IF('[2]Memória de Cálculo'!A1576&gt;0,'[2]Memória de Cálculo'!A1576,"")</f>
        <v/>
      </c>
      <c r="B1072" s="641">
        <v>80502</v>
      </c>
      <c r="C1072" s="646" t="s">
        <v>2210</v>
      </c>
    </row>
    <row r="1073" spans="1:3" ht="15.6" hidden="1" customHeight="1">
      <c r="A1073" s="640" t="str">
        <f>IF('[2]Memória de Cálculo'!A1577&gt;0,'[2]Memória de Cálculo'!A1577,"")</f>
        <v/>
      </c>
      <c r="B1073" s="641">
        <v>80503</v>
      </c>
      <c r="C1073" s="646" t="s">
        <v>2211</v>
      </c>
    </row>
    <row r="1074" spans="1:3" ht="26.4" hidden="1" customHeight="1">
      <c r="A1074" s="640" t="str">
        <f>IF('[2]Memória de Cálculo'!A1578&gt;0,'[2]Memória de Cálculo'!A1578,"")</f>
        <v/>
      </c>
      <c r="B1074" s="641">
        <v>80504</v>
      </c>
      <c r="C1074" s="646" t="s">
        <v>975</v>
      </c>
    </row>
    <row r="1075" spans="1:3" ht="26.4" hidden="1" customHeight="1">
      <c r="A1075" s="640" t="str">
        <f>IF('[2]Memória de Cálculo'!A1579&gt;0,'[2]Memória de Cálculo'!A1579,"")</f>
        <v/>
      </c>
      <c r="B1075" s="641">
        <v>80505</v>
      </c>
      <c r="C1075" s="646" t="s">
        <v>2212</v>
      </c>
    </row>
    <row r="1076" spans="1:3" ht="15.6" hidden="1" customHeight="1">
      <c r="A1076" s="640"/>
      <c r="B1076" s="641">
        <v>80508</v>
      </c>
      <c r="C1076" s="646" t="s">
        <v>977</v>
      </c>
    </row>
    <row r="1077" spans="1:3">
      <c r="A1077" s="640" t="s">
        <v>2822</v>
      </c>
      <c r="B1077" s="641">
        <v>80510</v>
      </c>
      <c r="C1077" s="646" t="s">
        <v>978</v>
      </c>
    </row>
    <row r="1078" spans="1:3">
      <c r="A1078" s="648" t="s">
        <v>2823</v>
      </c>
      <c r="B1078" s="644">
        <v>80556</v>
      </c>
      <c r="C1078" s="645" t="s">
        <v>999</v>
      </c>
    </row>
    <row r="1079" spans="1:3">
      <c r="A1079" s="648" t="s">
        <v>2824</v>
      </c>
      <c r="B1079" s="644" t="s">
        <v>3419</v>
      </c>
      <c r="C1079" s="645" t="s">
        <v>3273</v>
      </c>
    </row>
    <row r="1080" spans="1:3">
      <c r="A1080" s="648" t="s">
        <v>3636</v>
      </c>
      <c r="B1080" s="644" t="s">
        <v>3420</v>
      </c>
      <c r="C1080" s="645" t="s">
        <v>3291</v>
      </c>
    </row>
    <row r="1081" spans="1:3" ht="15.6" hidden="1" customHeight="1">
      <c r="A1081" s="640" t="str">
        <f>IF('[2]Memória de Cálculo'!A1585&gt;0,'[2]Memória de Cálculo'!A1585,"")</f>
        <v/>
      </c>
      <c r="B1081" s="641">
        <v>80511</v>
      </c>
      <c r="C1081" s="646" t="s">
        <v>979</v>
      </c>
    </row>
    <row r="1082" spans="1:3" ht="15.6" hidden="1" customHeight="1">
      <c r="A1082" s="640" t="str">
        <f>IF('[2]Memória de Cálculo'!A1586&gt;0,'[2]Memória de Cálculo'!A1586,"")</f>
        <v/>
      </c>
      <c r="B1082" s="641">
        <v>80512</v>
      </c>
      <c r="C1082" s="646" t="s">
        <v>980</v>
      </c>
    </row>
    <row r="1083" spans="1:3" ht="15.6" hidden="1" customHeight="1">
      <c r="A1083" s="640" t="str">
        <f>IF('[2]Memória de Cálculo'!A1587&gt;0,'[2]Memória de Cálculo'!A1587,"")</f>
        <v/>
      </c>
      <c r="B1083" s="641">
        <v>80513</v>
      </c>
      <c r="C1083" s="646" t="s">
        <v>981</v>
      </c>
    </row>
    <row r="1084" spans="1:3" ht="15.6" hidden="1" customHeight="1">
      <c r="A1084" s="640" t="str">
        <f>IF('[2]Memória de Cálculo'!A1588&gt;0,'[2]Memória de Cálculo'!A1588,"")</f>
        <v/>
      </c>
      <c r="B1084" s="641">
        <v>80514</v>
      </c>
      <c r="C1084" s="646" t="s">
        <v>982</v>
      </c>
    </row>
    <row r="1085" spans="1:3" ht="15.6" hidden="1" customHeight="1">
      <c r="A1085" s="640" t="str">
        <f>IF('[2]Memória de Cálculo'!A1589&gt;0,'[2]Memória de Cálculo'!A1589,"")</f>
        <v/>
      </c>
      <c r="B1085" s="641">
        <v>80515</v>
      </c>
      <c r="C1085" s="646" t="s">
        <v>983</v>
      </c>
    </row>
    <row r="1086" spans="1:3" ht="26.4" hidden="1" customHeight="1">
      <c r="A1086" s="640" t="str">
        <f>IF('[2]Memória de Cálculo'!A1590&gt;0,'[2]Memória de Cálculo'!A1590,"")</f>
        <v/>
      </c>
      <c r="B1086" s="641">
        <v>80517</v>
      </c>
      <c r="C1086" s="646" t="s">
        <v>984</v>
      </c>
    </row>
    <row r="1087" spans="1:3" ht="26.4" hidden="1" customHeight="1">
      <c r="A1087" s="640" t="str">
        <f>IF('[2]Memória de Cálculo'!A1591&gt;0,'[2]Memória de Cálculo'!A1591,"")</f>
        <v/>
      </c>
      <c r="B1087" s="641">
        <v>80518</v>
      </c>
      <c r="C1087" s="646" t="s">
        <v>985</v>
      </c>
    </row>
    <row r="1088" spans="1:3" ht="15.6" hidden="1" customHeight="1">
      <c r="A1088" s="640" t="str">
        <f>IF('[2]Memória de Cálculo'!A1592&gt;0,'[2]Memória de Cálculo'!A1592,"")</f>
        <v/>
      </c>
      <c r="B1088" s="641">
        <v>80519</v>
      </c>
      <c r="C1088" s="646" t="s">
        <v>2213</v>
      </c>
    </row>
    <row r="1089" spans="1:3" ht="15.6" hidden="1" customHeight="1">
      <c r="A1089" s="640" t="str">
        <f>IF('[2]Memória de Cálculo'!A1593&gt;0,'[2]Memória de Cálculo'!A1593,"")</f>
        <v/>
      </c>
      <c r="B1089" s="641">
        <v>80520</v>
      </c>
      <c r="C1089" s="646" t="s">
        <v>987</v>
      </c>
    </row>
    <row r="1090" spans="1:3" ht="15.6" hidden="1" customHeight="1">
      <c r="A1090" s="640" t="str">
        <f>IF('[2]Memória de Cálculo'!A1594&gt;0,'[2]Memória de Cálculo'!A1594,"")</f>
        <v/>
      </c>
      <c r="B1090" s="641">
        <v>80526</v>
      </c>
      <c r="C1090" s="646" t="s">
        <v>989</v>
      </c>
    </row>
    <row r="1091" spans="1:3" ht="15.6" hidden="1" customHeight="1">
      <c r="A1091" s="640" t="str">
        <f>IF('[2]Memória de Cálculo'!A1595&gt;0,'[2]Memória de Cálculo'!A1595,"")</f>
        <v/>
      </c>
      <c r="B1091" s="641">
        <v>80530</v>
      </c>
      <c r="C1091" s="646" t="s">
        <v>990</v>
      </c>
    </row>
    <row r="1092" spans="1:3" ht="15.6" hidden="1" customHeight="1">
      <c r="A1092" s="640" t="str">
        <f>IF('[2]Memória de Cálculo'!A1596&gt;0,'[2]Memória de Cálculo'!A1596,"")</f>
        <v>6.2</v>
      </c>
      <c r="B1092" s="641">
        <v>80532</v>
      </c>
      <c r="C1092" s="646" t="s">
        <v>991</v>
      </c>
    </row>
    <row r="1093" spans="1:3" ht="15.6">
      <c r="A1093" s="649"/>
      <c r="B1093" s="650">
        <v>80540</v>
      </c>
      <c r="C1093" s="651" t="s">
        <v>992</v>
      </c>
    </row>
    <row r="1094" spans="1:3" ht="15.6" hidden="1" customHeight="1">
      <c r="A1094" s="640" t="str">
        <f>IF('[2]Memória de Cálculo'!A1615&gt;0,'[2]Memória de Cálculo'!A1615,"")</f>
        <v/>
      </c>
      <c r="B1094" s="641">
        <v>80541</v>
      </c>
      <c r="C1094" s="646" t="s">
        <v>993</v>
      </c>
    </row>
    <row r="1095" spans="1:3" ht="15.6" hidden="1" customHeight="1">
      <c r="A1095" s="640" t="str">
        <f>IF('[2]Memória de Cálculo'!A1616&gt;0,'[2]Memória de Cálculo'!A1616,"")</f>
        <v/>
      </c>
      <c r="B1095" s="641">
        <v>80542</v>
      </c>
      <c r="C1095" s="646" t="s">
        <v>994</v>
      </c>
    </row>
    <row r="1096" spans="1:3" ht="15.6" hidden="1" customHeight="1">
      <c r="A1096" s="640" t="str">
        <f>IF('[2]Memória de Cálculo'!A1617&gt;0,'[2]Memória de Cálculo'!A1617,"")</f>
        <v/>
      </c>
      <c r="B1096" s="641">
        <v>80543</v>
      </c>
      <c r="C1096" s="646" t="s">
        <v>995</v>
      </c>
    </row>
    <row r="1097" spans="1:3" ht="15.6" hidden="1" customHeight="1">
      <c r="A1097" s="640" t="str">
        <f>IF('[2]Memória de Cálculo'!A1618&gt;0,'[2]Memória de Cálculo'!A1618,"")</f>
        <v/>
      </c>
      <c r="B1097" s="641">
        <v>80550</v>
      </c>
      <c r="C1097" s="646" t="s">
        <v>996</v>
      </c>
    </row>
    <row r="1098" spans="1:3" ht="15.6" hidden="1" customHeight="1">
      <c r="A1098" s="640" t="str">
        <f>IF('[2]Memória de Cálculo'!A1619&gt;0,'[2]Memória de Cálculo'!A1619,"")</f>
        <v/>
      </c>
      <c r="B1098" s="641">
        <v>80555</v>
      </c>
      <c r="C1098" s="646" t="s">
        <v>998</v>
      </c>
    </row>
    <row r="1099" spans="1:3" ht="15.6" hidden="1" customHeight="1">
      <c r="A1099" s="640" t="str">
        <f>IF('[2]Memória de Cálculo'!A1620&gt;0,'[2]Memória de Cálculo'!A1620,"")</f>
        <v/>
      </c>
      <c r="B1099" s="641">
        <v>80556</v>
      </c>
      <c r="C1099" s="646" t="s">
        <v>999</v>
      </c>
    </row>
    <row r="1100" spans="1:3" ht="15.6" hidden="1" customHeight="1">
      <c r="A1100" s="640" t="str">
        <f>IF('[2]Memória de Cálculo'!A1624&gt;0,'[2]Memória de Cálculo'!A1624,"")</f>
        <v/>
      </c>
      <c r="B1100" s="641">
        <v>80560</v>
      </c>
      <c r="C1100" s="646" t="s">
        <v>2214</v>
      </c>
    </row>
    <row r="1101" spans="1:3" ht="15.6" hidden="1" customHeight="1">
      <c r="A1101" s="640" t="str">
        <f>IF('[2]Memória de Cálculo'!A1625&gt;0,'[2]Memória de Cálculo'!A1625,"")</f>
        <v>6.5</v>
      </c>
      <c r="B1101" s="641">
        <v>80561</v>
      </c>
      <c r="C1101" s="646" t="s">
        <v>2215</v>
      </c>
    </row>
    <row r="1102" spans="1:3">
      <c r="A1102" s="640" t="s">
        <v>3819</v>
      </c>
      <c r="B1102" s="641">
        <v>80562</v>
      </c>
      <c r="C1102" s="646" t="s">
        <v>2216</v>
      </c>
    </row>
    <row r="1103" spans="1:3" ht="15.6" hidden="1" customHeight="1">
      <c r="A1103" s="640" t="str">
        <f>IF('[2]Memória de Cálculo'!A1631&gt;0,'[2]Memória de Cálculo'!A1631,"")</f>
        <v/>
      </c>
      <c r="B1103" s="641">
        <v>80563</v>
      </c>
      <c r="C1103" s="646" t="s">
        <v>2217</v>
      </c>
    </row>
    <row r="1104" spans="1:3" ht="15.6" hidden="1" customHeight="1">
      <c r="A1104" s="640" t="str">
        <f>IF('[2]Memória de Cálculo'!A1632&gt;0,'[2]Memória de Cálculo'!A1632,"")</f>
        <v/>
      </c>
      <c r="B1104" s="641">
        <v>80564</v>
      </c>
      <c r="C1104" s="646" t="s">
        <v>2218</v>
      </c>
    </row>
    <row r="1105" spans="1:3" ht="15.6" hidden="1" customHeight="1">
      <c r="A1105" s="640" t="str">
        <f>IF('[2]Memória de Cálculo'!A1633&gt;0,'[2]Memória de Cálculo'!A1633,"")</f>
        <v>6.6</v>
      </c>
      <c r="B1105" s="641">
        <v>80570</v>
      </c>
      <c r="C1105" s="646" t="s">
        <v>1005</v>
      </c>
    </row>
    <row r="1106" spans="1:3" ht="26.4">
      <c r="A1106" s="640" t="s">
        <v>3820</v>
      </c>
      <c r="B1106" s="641">
        <v>80572</v>
      </c>
      <c r="C1106" s="646" t="s">
        <v>1006</v>
      </c>
    </row>
    <row r="1107" spans="1:3" ht="26.4" hidden="1" customHeight="1">
      <c r="A1107" s="640"/>
      <c r="B1107" s="641">
        <v>80573</v>
      </c>
      <c r="C1107" s="646" t="s">
        <v>2219</v>
      </c>
    </row>
    <row r="1108" spans="1:3">
      <c r="A1108" s="640" t="s">
        <v>3821</v>
      </c>
      <c r="B1108" s="641">
        <v>80580</v>
      </c>
      <c r="C1108" s="646" t="s">
        <v>2220</v>
      </c>
    </row>
    <row r="1109" spans="1:3" ht="15.6" hidden="1" customHeight="1">
      <c r="A1109" s="640" t="str">
        <f>IF('[2]Memória de Cálculo'!A1644&gt;0,'[2]Memória de Cálculo'!A1644,"")</f>
        <v/>
      </c>
      <c r="B1109" s="641">
        <v>80587</v>
      </c>
      <c r="C1109" s="646" t="s">
        <v>1009</v>
      </c>
    </row>
    <row r="1110" spans="1:3" ht="15.6" hidden="1" customHeight="1">
      <c r="A1110" s="640" t="str">
        <f>IF('[2]Memória de Cálculo'!A1645&gt;0,'[2]Memória de Cálculo'!A1645,"")</f>
        <v/>
      </c>
      <c r="B1110" s="641">
        <v>80590</v>
      </c>
      <c r="C1110" s="646" t="s">
        <v>1010</v>
      </c>
    </row>
    <row r="1111" spans="1:3" ht="15.6">
      <c r="A1111" s="649"/>
      <c r="B1111" s="650">
        <v>80600</v>
      </c>
      <c r="C1111" s="651" t="s">
        <v>2221</v>
      </c>
    </row>
    <row r="1112" spans="1:3" ht="15.6" hidden="1" customHeight="1">
      <c r="A1112" s="640" t="str">
        <f>IF('[2]Memória de Cálculo'!A1647&gt;0,'[2]Memória de Cálculo'!A1647,"")</f>
        <v/>
      </c>
      <c r="B1112" s="641">
        <v>80601</v>
      </c>
      <c r="C1112" s="646" t="s">
        <v>1012</v>
      </c>
    </row>
    <row r="1113" spans="1:3" ht="15.6" hidden="1" customHeight="1">
      <c r="A1113" s="640" t="str">
        <f>IF('[2]Memória de Cálculo'!A1648&gt;0,'[2]Memória de Cálculo'!A1648,"")</f>
        <v/>
      </c>
      <c r="B1113" s="641">
        <v>80610</v>
      </c>
      <c r="C1113" s="646" t="s">
        <v>2222</v>
      </c>
    </row>
    <row r="1114" spans="1:3" ht="15.6" hidden="1" customHeight="1">
      <c r="A1114" s="640" t="str">
        <f>IF('[2]Memória de Cálculo'!A1649&gt;0,'[2]Memória de Cálculo'!A1649,"")</f>
        <v/>
      </c>
      <c r="B1114" s="641">
        <v>80613</v>
      </c>
      <c r="C1114" s="646" t="s">
        <v>1014</v>
      </c>
    </row>
    <row r="1115" spans="1:3" ht="15.6" hidden="1" customHeight="1">
      <c r="A1115" s="640" t="str">
        <f>IF('[2]Memória de Cálculo'!A1650&gt;0,'[2]Memória de Cálculo'!A1650,"")</f>
        <v>6.8</v>
      </c>
      <c r="B1115" s="641">
        <v>80620</v>
      </c>
      <c r="C1115" s="646" t="s">
        <v>1015</v>
      </c>
    </row>
    <row r="1116" spans="1:3" ht="26.4">
      <c r="A1116" s="640" t="s">
        <v>3822</v>
      </c>
      <c r="B1116" s="641">
        <v>80621</v>
      </c>
      <c r="C1116" s="646" t="s">
        <v>1016</v>
      </c>
    </row>
    <row r="1117" spans="1:3" ht="15.6" hidden="1" customHeight="1">
      <c r="A1117" s="649"/>
      <c r="B1117" s="650">
        <v>80650</v>
      </c>
      <c r="C1117" s="651" t="s">
        <v>2223</v>
      </c>
    </row>
    <row r="1118" spans="1:3" ht="15.6" hidden="1" customHeight="1">
      <c r="A1118" s="640" t="str">
        <f>IF('[2]Memória de Cálculo'!A1655&gt;0,'[2]Memória de Cálculo'!A1655,"")</f>
        <v/>
      </c>
      <c r="B1118" s="641">
        <v>80651</v>
      </c>
      <c r="C1118" s="646" t="s">
        <v>1018</v>
      </c>
    </row>
    <row r="1119" spans="1:3" ht="15.6" hidden="1" customHeight="1">
      <c r="A1119" s="640" t="str">
        <f>IF('[2]Memória de Cálculo'!A1656&gt;0,'[2]Memória de Cálculo'!A1656,"")</f>
        <v/>
      </c>
      <c r="B1119" s="641">
        <v>80652</v>
      </c>
      <c r="C1119" s="646" t="s">
        <v>1019</v>
      </c>
    </row>
    <row r="1120" spans="1:3" ht="15.6" hidden="1" customHeight="1">
      <c r="A1120" s="640" t="str">
        <f>IF('[2]Memória de Cálculo'!A1657&gt;0,'[2]Memória de Cálculo'!A1657,"")</f>
        <v/>
      </c>
      <c r="B1120" s="641">
        <v>80656</v>
      </c>
      <c r="C1120" s="646" t="s">
        <v>1020</v>
      </c>
    </row>
    <row r="1121" spans="1:3" ht="15.6" hidden="1" customHeight="1">
      <c r="A1121" s="640" t="str">
        <f>IF('[2]Memória de Cálculo'!A1658&gt;0,'[2]Memória de Cálculo'!A1658,"")</f>
        <v/>
      </c>
      <c r="B1121" s="641">
        <v>80660</v>
      </c>
      <c r="C1121" s="646" t="s">
        <v>1021</v>
      </c>
    </row>
    <row r="1122" spans="1:3" ht="15.6" hidden="1" customHeight="1">
      <c r="A1122" s="640" t="str">
        <f>IF('[2]Memória de Cálculo'!A1659&gt;0,'[2]Memória de Cálculo'!A1659,"")</f>
        <v/>
      </c>
      <c r="B1122" s="641">
        <v>80670</v>
      </c>
      <c r="C1122" s="646" t="s">
        <v>2224</v>
      </c>
    </row>
    <row r="1123" spans="1:3" ht="15.6" hidden="1" customHeight="1">
      <c r="A1123" s="640" t="str">
        <f>IF('[2]Memória de Cálculo'!A1660&gt;0,'[2]Memória de Cálculo'!A1660,"")</f>
        <v/>
      </c>
      <c r="B1123" s="641">
        <v>80671</v>
      </c>
      <c r="C1123" s="646" t="s">
        <v>2225</v>
      </c>
    </row>
    <row r="1124" spans="1:3" ht="15.6" hidden="1" customHeight="1">
      <c r="A1124" s="640" t="str">
        <f>IF('[2]Memória de Cálculo'!A1661&gt;0,'[2]Memória de Cálculo'!A1661,"")</f>
        <v/>
      </c>
      <c r="B1124" s="641">
        <v>80672</v>
      </c>
      <c r="C1124" s="646" t="s">
        <v>2226</v>
      </c>
    </row>
    <row r="1125" spans="1:3" ht="15.6" hidden="1" customHeight="1">
      <c r="A1125" s="640" t="str">
        <f>IF('[2]Memória de Cálculo'!A1662&gt;0,'[2]Memória de Cálculo'!A1662,"")</f>
        <v/>
      </c>
      <c r="B1125" s="641">
        <v>80680</v>
      </c>
      <c r="C1125" s="646" t="s">
        <v>2227</v>
      </c>
    </row>
    <row r="1126" spans="1:3" ht="15.6" hidden="1" customHeight="1">
      <c r="A1126" s="640" t="str">
        <f>IF('[2]Memória de Cálculo'!A1663&gt;0,'[2]Memória de Cálculo'!A1663,"")</f>
        <v/>
      </c>
      <c r="B1126" s="641">
        <v>80686</v>
      </c>
      <c r="C1126" s="646" t="s">
        <v>1026</v>
      </c>
    </row>
    <row r="1127" spans="1:3" ht="15.6" hidden="1" customHeight="1">
      <c r="A1127" s="640" t="str">
        <f>IF('[2]Memória de Cálculo'!A1664&gt;0,'[2]Memória de Cálculo'!A1664,"")</f>
        <v/>
      </c>
      <c r="B1127" s="641">
        <v>80687</v>
      </c>
      <c r="C1127" s="646" t="s">
        <v>1027</v>
      </c>
    </row>
    <row r="1128" spans="1:3" ht="15.6" hidden="1" customHeight="1">
      <c r="A1128" s="640" t="str">
        <f>IF('[2]Memória de Cálculo'!A1665&gt;0,'[2]Memória de Cálculo'!A1665,"")</f>
        <v/>
      </c>
      <c r="B1128" s="641">
        <v>80688</v>
      </c>
      <c r="C1128" s="646" t="s">
        <v>1028</v>
      </c>
    </row>
    <row r="1129" spans="1:3" ht="15.6" hidden="1" customHeight="1">
      <c r="A1129" s="640" t="str">
        <f>IF('[2]Memória de Cálculo'!A1666&gt;0,'[2]Memória de Cálculo'!A1666,"")</f>
        <v/>
      </c>
      <c r="B1129" s="641">
        <v>80689</v>
      </c>
      <c r="C1129" s="646" t="s">
        <v>1029</v>
      </c>
    </row>
    <row r="1130" spans="1:3" ht="15.6" hidden="1" customHeight="1">
      <c r="A1130" s="640" t="str">
        <f>IF('[2]Memória de Cálculo'!A1667&gt;0,'[2]Memória de Cálculo'!A1667,"")</f>
        <v/>
      </c>
      <c r="B1130" s="641">
        <v>80693</v>
      </c>
      <c r="C1130" s="646" t="s">
        <v>1030</v>
      </c>
    </row>
    <row r="1131" spans="1:3" ht="15.6" hidden="1" customHeight="1">
      <c r="A1131" s="649"/>
      <c r="B1131" s="650">
        <v>80720</v>
      </c>
      <c r="C1131" s="651" t="s">
        <v>1031</v>
      </c>
    </row>
    <row r="1132" spans="1:3" ht="15.6" hidden="1" customHeight="1">
      <c r="A1132" s="640" t="str">
        <f>IF('[2]Memória de Cálculo'!A1669&gt;0,'[2]Memória de Cálculo'!A1669,"")</f>
        <v/>
      </c>
      <c r="B1132" s="641">
        <v>80721</v>
      </c>
      <c r="C1132" s="642" t="s">
        <v>1032</v>
      </c>
    </row>
    <row r="1133" spans="1:3" ht="15.6" hidden="1" customHeight="1">
      <c r="A1133" s="640" t="str">
        <f>IF('[2]Memória de Cálculo'!A1670&gt;0,'[2]Memória de Cálculo'!A1670,"")</f>
        <v/>
      </c>
      <c r="B1133" s="641">
        <v>80723</v>
      </c>
      <c r="C1133" s="642" t="s">
        <v>1033</v>
      </c>
    </row>
    <row r="1134" spans="1:3" ht="15.6" hidden="1" customHeight="1">
      <c r="A1134" s="640" t="str">
        <f>IF('[2]Memória de Cálculo'!A1671&gt;0,'[2]Memória de Cálculo'!A1671,"")</f>
        <v/>
      </c>
      <c r="B1134" s="641">
        <v>80725</v>
      </c>
      <c r="C1134" s="642" t="s">
        <v>2228</v>
      </c>
    </row>
    <row r="1135" spans="1:3" ht="15.6" hidden="1" customHeight="1">
      <c r="A1135" s="640" t="str">
        <f>IF('[2]Memória de Cálculo'!A1672&gt;0,'[2]Memória de Cálculo'!A1672,"")</f>
        <v/>
      </c>
      <c r="B1135" s="641">
        <v>80730</v>
      </c>
      <c r="C1135" s="642" t="s">
        <v>1035</v>
      </c>
    </row>
    <row r="1136" spans="1:3" ht="15.6" hidden="1" customHeight="1">
      <c r="A1136" s="640" t="str">
        <f>IF('[2]Memória de Cálculo'!A1673&gt;0,'[2]Memória de Cálculo'!A1673,"")</f>
        <v/>
      </c>
      <c r="B1136" s="641">
        <v>80732</v>
      </c>
      <c r="C1136" s="642" t="s">
        <v>1036</v>
      </c>
    </row>
    <row r="1137" spans="1:3" ht="15.6" hidden="1" customHeight="1">
      <c r="A1137" s="640" t="str">
        <f>IF('[2]Memória de Cálculo'!A1674&gt;0,'[2]Memória de Cálculo'!A1674,"")</f>
        <v/>
      </c>
      <c r="B1137" s="641">
        <v>80733</v>
      </c>
      <c r="C1137" s="642" t="s">
        <v>1037</v>
      </c>
    </row>
    <row r="1138" spans="1:3" ht="15.6" hidden="1" customHeight="1">
      <c r="A1138" s="640" t="str">
        <f>IF('[2]Memória de Cálculo'!A1675&gt;0,'[2]Memória de Cálculo'!A1675,"")</f>
        <v/>
      </c>
      <c r="B1138" s="641">
        <v>80740</v>
      </c>
      <c r="C1138" s="642" t="s">
        <v>1038</v>
      </c>
    </row>
    <row r="1139" spans="1:3" ht="15.6" hidden="1" customHeight="1">
      <c r="A1139" s="640" t="str">
        <f>IF('[2]Memória de Cálculo'!A1676&gt;0,'[2]Memória de Cálculo'!A1676,"")</f>
        <v/>
      </c>
      <c r="B1139" s="641">
        <v>80741</v>
      </c>
      <c r="C1139" s="642" t="s">
        <v>1039</v>
      </c>
    </row>
    <row r="1140" spans="1:3" ht="15.6" hidden="1" customHeight="1">
      <c r="A1140" s="640" t="str">
        <f>IF('[2]Memória de Cálculo'!A1677&gt;0,'[2]Memória de Cálculo'!A1677,"")</f>
        <v/>
      </c>
      <c r="B1140" s="641">
        <v>80752</v>
      </c>
      <c r="C1140" s="642" t="s">
        <v>2229</v>
      </c>
    </row>
    <row r="1141" spans="1:3" ht="15.6">
      <c r="A1141" s="649"/>
      <c r="B1141" s="650">
        <v>80800</v>
      </c>
      <c r="C1141" s="651" t="s">
        <v>1041</v>
      </c>
    </row>
    <row r="1142" spans="1:3" ht="15.6" hidden="1" customHeight="1">
      <c r="A1142" s="640" t="str">
        <f>IF('[2]Memória de Cálculo'!A1679&gt;0,'[2]Memória de Cálculo'!A1679,"")</f>
        <v/>
      </c>
      <c r="B1142" s="641">
        <v>80801</v>
      </c>
      <c r="C1142" s="646" t="s">
        <v>1042</v>
      </c>
    </row>
    <row r="1143" spans="1:3" ht="15.6" hidden="1" customHeight="1">
      <c r="A1143" s="640" t="str">
        <f>IF('[2]Memória de Cálculo'!A1680&gt;0,'[2]Memória de Cálculo'!A1680,"")</f>
        <v/>
      </c>
      <c r="B1143" s="641">
        <v>80802</v>
      </c>
      <c r="C1143" s="646" t="s">
        <v>1043</v>
      </c>
    </row>
    <row r="1144" spans="1:3" ht="15.6" hidden="1" customHeight="1">
      <c r="A1144" s="640" t="str">
        <f>IF('[2]Memória de Cálculo'!A1681&gt;0,'[2]Memória de Cálculo'!A1681,"")</f>
        <v/>
      </c>
      <c r="B1144" s="641">
        <v>80803</v>
      </c>
      <c r="C1144" s="646" t="s">
        <v>1044</v>
      </c>
    </row>
    <row r="1145" spans="1:3" ht="15.6" hidden="1" customHeight="1">
      <c r="A1145" s="640" t="str">
        <f>IF('[2]Memória de Cálculo'!A1682&gt;0,'[2]Memória de Cálculo'!A1682,"")</f>
        <v/>
      </c>
      <c r="B1145" s="641">
        <v>80804</v>
      </c>
      <c r="C1145" s="646" t="s">
        <v>1045</v>
      </c>
    </row>
    <row r="1146" spans="1:3" ht="15.6" hidden="1" customHeight="1">
      <c r="A1146" s="640" t="str">
        <f>IF('[2]Memória de Cálculo'!A1683&gt;0,'[2]Memória de Cálculo'!A1683,"")</f>
        <v>6.9</v>
      </c>
      <c r="B1146" s="641">
        <v>80805</v>
      </c>
      <c r="C1146" s="646" t="s">
        <v>1046</v>
      </c>
    </row>
    <row r="1147" spans="1:3">
      <c r="A1147" s="640" t="s">
        <v>3823</v>
      </c>
      <c r="B1147" s="641">
        <v>80810</v>
      </c>
      <c r="C1147" s="646" t="s">
        <v>1047</v>
      </c>
    </row>
    <row r="1148" spans="1:3">
      <c r="A1148" s="640" t="s">
        <v>3824</v>
      </c>
      <c r="B1148" s="641">
        <v>80811</v>
      </c>
      <c r="C1148" s="646" t="s">
        <v>1048</v>
      </c>
    </row>
    <row r="1149" spans="1:3" ht="15.6" hidden="1" customHeight="1">
      <c r="A1149" s="640" t="str">
        <f>IF('[2]Memória de Cálculo'!A1692&gt;0,'[2]Memória de Cálculo'!A1692,"")</f>
        <v/>
      </c>
      <c r="B1149" s="641">
        <v>80819</v>
      </c>
      <c r="C1149" s="646" t="s">
        <v>1049</v>
      </c>
    </row>
    <row r="1150" spans="1:3" ht="15.6" hidden="1" customHeight="1">
      <c r="A1150" s="640" t="str">
        <f>IF('[2]Memória de Cálculo'!A1693&gt;0,'[2]Memória de Cálculo'!A1693,"")</f>
        <v/>
      </c>
      <c r="B1150" s="641">
        <v>80820</v>
      </c>
      <c r="C1150" s="646" t="s">
        <v>2230</v>
      </c>
    </row>
    <row r="1151" spans="1:3" ht="15.6" hidden="1" customHeight="1">
      <c r="A1151" s="640" t="str">
        <f>IF('[2]Memória de Cálculo'!A1694&gt;0,'[2]Memória de Cálculo'!A1694,"")</f>
        <v/>
      </c>
      <c r="B1151" s="641">
        <v>80821</v>
      </c>
      <c r="C1151" s="646" t="s">
        <v>1051</v>
      </c>
    </row>
    <row r="1152" spans="1:3" ht="15.6" hidden="1" customHeight="1">
      <c r="A1152" s="640" t="str">
        <f>IF('[2]Memória de Cálculo'!A1695&gt;0,'[2]Memória de Cálculo'!A1695,"")</f>
        <v/>
      </c>
      <c r="B1152" s="641">
        <v>80830</v>
      </c>
      <c r="C1152" s="646" t="s">
        <v>2231</v>
      </c>
    </row>
    <row r="1153" spans="1:3" ht="15.6" hidden="1" customHeight="1">
      <c r="A1153" s="640" t="str">
        <f>IF('[2]Memória de Cálculo'!A1696&gt;0,'[2]Memória de Cálculo'!A1696,"")</f>
        <v/>
      </c>
      <c r="B1153" s="641">
        <v>80840</v>
      </c>
      <c r="C1153" s="646" t="s">
        <v>1053</v>
      </c>
    </row>
    <row r="1154" spans="1:3" ht="26.4" hidden="1" customHeight="1">
      <c r="A1154" s="640" t="str">
        <f>IF('[2]Memória de Cálculo'!A1697&gt;0,'[2]Memória de Cálculo'!A1697,"")</f>
        <v/>
      </c>
      <c r="B1154" s="641">
        <v>80845</v>
      </c>
      <c r="C1154" s="646" t="s">
        <v>1054</v>
      </c>
    </row>
    <row r="1155" spans="1:3" ht="15.6" hidden="1" customHeight="1">
      <c r="A1155" s="649"/>
      <c r="B1155" s="650">
        <v>80900</v>
      </c>
      <c r="C1155" s="651" t="s">
        <v>1055</v>
      </c>
    </row>
    <row r="1156" spans="1:3" ht="15.6" hidden="1" customHeight="1">
      <c r="A1156" s="640" t="str">
        <f>IF('[2]Memória de Cálculo'!A1699&gt;0,'[2]Memória de Cálculo'!A1699,"")</f>
        <v/>
      </c>
      <c r="B1156" s="641">
        <v>80901</v>
      </c>
      <c r="C1156" s="646" t="s">
        <v>1056</v>
      </c>
    </row>
    <row r="1157" spans="1:3" ht="15.6" hidden="1" customHeight="1">
      <c r="A1157" s="640" t="str">
        <f>IF('[2]Memória de Cálculo'!A1700&gt;0,'[2]Memória de Cálculo'!A1700,"")</f>
        <v/>
      </c>
      <c r="B1157" s="641">
        <v>80902</v>
      </c>
      <c r="C1157" s="646" t="s">
        <v>1057</v>
      </c>
    </row>
    <row r="1158" spans="1:3" ht="15.6" hidden="1" customHeight="1">
      <c r="A1158" s="640" t="str">
        <f>IF('[2]Memória de Cálculo'!A1701&gt;0,'[2]Memória de Cálculo'!A1701,"")</f>
        <v/>
      </c>
      <c r="B1158" s="641">
        <v>80903</v>
      </c>
      <c r="C1158" s="646" t="s">
        <v>1058</v>
      </c>
    </row>
    <row r="1159" spans="1:3" ht="15.6" hidden="1" customHeight="1">
      <c r="A1159" s="640" t="str">
        <f>IF('[2]Memória de Cálculo'!A1702&gt;0,'[2]Memória de Cálculo'!A1702,"")</f>
        <v/>
      </c>
      <c r="B1159" s="641">
        <v>80904</v>
      </c>
      <c r="C1159" s="646" t="s">
        <v>1059</v>
      </c>
    </row>
    <row r="1160" spans="1:3" ht="15.6" hidden="1" customHeight="1">
      <c r="A1160" s="640" t="str">
        <f>IF('[2]Memória de Cálculo'!A1703&gt;0,'[2]Memória de Cálculo'!A1703,"")</f>
        <v/>
      </c>
      <c r="B1160" s="641">
        <v>80905</v>
      </c>
      <c r="C1160" s="646" t="s">
        <v>1060</v>
      </c>
    </row>
    <row r="1161" spans="1:3" ht="15.6" hidden="1" customHeight="1">
      <c r="A1161" s="640" t="str">
        <f>IF('[2]Memória de Cálculo'!A1704&gt;0,'[2]Memória de Cálculo'!A1704,"")</f>
        <v/>
      </c>
      <c r="B1161" s="641">
        <v>80906</v>
      </c>
      <c r="C1161" s="646" t="s">
        <v>1061</v>
      </c>
    </row>
    <row r="1162" spans="1:3" ht="15.6" hidden="1" customHeight="1">
      <c r="A1162" s="640" t="str">
        <f>IF('[2]Memória de Cálculo'!A1705&gt;0,'[2]Memória de Cálculo'!A1705,"")</f>
        <v/>
      </c>
      <c r="B1162" s="641">
        <v>80910</v>
      </c>
      <c r="C1162" s="646" t="s">
        <v>1062</v>
      </c>
    </row>
    <row r="1163" spans="1:3" ht="15.6" hidden="1" customHeight="1">
      <c r="A1163" s="640" t="str">
        <f>IF('[2]Memória de Cálculo'!A1706&gt;0,'[2]Memória de Cálculo'!A1706,"")</f>
        <v/>
      </c>
      <c r="B1163" s="641">
        <v>80911</v>
      </c>
      <c r="C1163" s="646" t="s">
        <v>2232</v>
      </c>
    </row>
    <row r="1164" spans="1:3" ht="15.6" hidden="1" customHeight="1">
      <c r="A1164" s="640" t="str">
        <f>IF('[2]Memória de Cálculo'!A1707&gt;0,'[2]Memória de Cálculo'!A1707,"")</f>
        <v/>
      </c>
      <c r="B1164" s="641">
        <v>80912</v>
      </c>
      <c r="C1164" s="646" t="s">
        <v>2233</v>
      </c>
    </row>
    <row r="1165" spans="1:3" ht="15.6" hidden="1" customHeight="1">
      <c r="A1165" s="640" t="str">
        <f>IF('[2]Memória de Cálculo'!A1708&gt;0,'[2]Memória de Cálculo'!A1708,"")</f>
        <v/>
      </c>
      <c r="B1165" s="641">
        <v>80925</v>
      </c>
      <c r="C1165" s="646" t="s">
        <v>1065</v>
      </c>
    </row>
    <row r="1166" spans="1:3" ht="15.6" hidden="1" customHeight="1">
      <c r="A1166" s="640" t="str">
        <f>IF('[2]Memória de Cálculo'!A1709&gt;0,'[2]Memória de Cálculo'!A1709,"")</f>
        <v/>
      </c>
      <c r="B1166" s="641">
        <v>80926</v>
      </c>
      <c r="C1166" s="646" t="s">
        <v>1066</v>
      </c>
    </row>
    <row r="1167" spans="1:3" ht="15.6" hidden="1" customHeight="1">
      <c r="A1167" s="640" t="str">
        <f>IF('[2]Memória de Cálculo'!A1710&gt;0,'[2]Memória de Cálculo'!A1710,"")</f>
        <v/>
      </c>
      <c r="B1167" s="641">
        <v>80927</v>
      </c>
      <c r="C1167" s="646" t="s">
        <v>1067</v>
      </c>
    </row>
    <row r="1168" spans="1:3" ht="15.6" hidden="1" customHeight="1">
      <c r="A1168" s="640" t="str">
        <f>IF('[2]Memória de Cálculo'!A1711&gt;0,'[2]Memória de Cálculo'!A1711,"")</f>
        <v/>
      </c>
      <c r="B1168" s="641">
        <v>80928</v>
      </c>
      <c r="C1168" s="646" t="s">
        <v>1068</v>
      </c>
    </row>
    <row r="1169" spans="1:3" ht="15.6" hidden="1" customHeight="1">
      <c r="A1169" s="640" t="str">
        <f>IF('[2]Memória de Cálculo'!A1712&gt;0,'[2]Memória de Cálculo'!A1712,"")</f>
        <v/>
      </c>
      <c r="B1169" s="641">
        <v>80929</v>
      </c>
      <c r="C1169" s="646" t="s">
        <v>1069</v>
      </c>
    </row>
    <row r="1170" spans="1:3" ht="15.6" hidden="1" customHeight="1">
      <c r="A1170" s="640" t="str">
        <f>IF('[2]Memória de Cálculo'!A1713&gt;0,'[2]Memória de Cálculo'!A1713,"")</f>
        <v/>
      </c>
      <c r="B1170" s="641">
        <v>80945</v>
      </c>
      <c r="C1170" s="646" t="s">
        <v>1070</v>
      </c>
    </row>
    <row r="1171" spans="1:3" ht="15.6" hidden="1" customHeight="1">
      <c r="A1171" s="640" t="str">
        <f>IF('[2]Memória de Cálculo'!A1714&gt;0,'[2]Memória de Cálculo'!A1714,"")</f>
        <v/>
      </c>
      <c r="B1171" s="641">
        <v>80946</v>
      </c>
      <c r="C1171" s="646" t="s">
        <v>1071</v>
      </c>
    </row>
    <row r="1172" spans="1:3" ht="15.6" hidden="1" customHeight="1">
      <c r="A1172" s="640" t="str">
        <f>IF('[2]Memória de Cálculo'!A1715&gt;0,'[2]Memória de Cálculo'!A1715,"")</f>
        <v/>
      </c>
      <c r="B1172" s="641">
        <v>80975</v>
      </c>
      <c r="C1172" s="646" t="s">
        <v>1072</v>
      </c>
    </row>
    <row r="1173" spans="1:3" ht="15.6" hidden="1" customHeight="1">
      <c r="A1173" s="640" t="str">
        <f>IF('[2]Memória de Cálculo'!A1716&gt;0,'[2]Memória de Cálculo'!A1716,"")</f>
        <v/>
      </c>
      <c r="B1173" s="641">
        <v>80976</v>
      </c>
      <c r="C1173" s="646" t="s">
        <v>1073</v>
      </c>
    </row>
    <row r="1174" spans="1:3" ht="15.6" hidden="1" customHeight="1">
      <c r="A1174" s="640" t="str">
        <f>IF('[2]Memória de Cálculo'!A1717&gt;0,'[2]Memória de Cálculo'!A1717,"")</f>
        <v/>
      </c>
      <c r="B1174" s="641">
        <v>80977</v>
      </c>
      <c r="C1174" s="646" t="s">
        <v>1074</v>
      </c>
    </row>
    <row r="1175" spans="1:3" ht="15.6" hidden="1" customHeight="1">
      <c r="A1175" s="640" t="str">
        <f>IF('[2]Memória de Cálculo'!A1718&gt;0,'[2]Memória de Cálculo'!A1718,"")</f>
        <v/>
      </c>
      <c r="B1175" s="641">
        <v>80978</v>
      </c>
      <c r="C1175" s="646" t="s">
        <v>1075</v>
      </c>
    </row>
    <row r="1176" spans="1:3" ht="15.6" hidden="1" customHeight="1">
      <c r="A1176" s="640" t="str">
        <f>IF('[2]Memória de Cálculo'!A1719&gt;0,'[2]Memória de Cálculo'!A1719,"")</f>
        <v/>
      </c>
      <c r="B1176" s="641">
        <v>80979</v>
      </c>
      <c r="C1176" s="646" t="s">
        <v>1076</v>
      </c>
    </row>
    <row r="1177" spans="1:3" ht="15.6" hidden="1" customHeight="1">
      <c r="A1177" s="640" t="str">
        <f>IF('[2]Memória de Cálculo'!A1720&gt;0,'[2]Memória de Cálculo'!A1720,"")</f>
        <v/>
      </c>
      <c r="B1177" s="641">
        <v>80980</v>
      </c>
      <c r="C1177" s="646" t="s">
        <v>1077</v>
      </c>
    </row>
    <row r="1178" spans="1:3" ht="15.6" hidden="1" customHeight="1">
      <c r="A1178" s="640" t="str">
        <f>IF('[2]Memória de Cálculo'!A1721&gt;0,'[2]Memória de Cálculo'!A1721,"")</f>
        <v/>
      </c>
      <c r="B1178" s="641">
        <v>80981</v>
      </c>
      <c r="C1178" s="646" t="s">
        <v>1078</v>
      </c>
    </row>
    <row r="1179" spans="1:3" ht="15.6" hidden="1" customHeight="1">
      <c r="A1179" s="640" t="str">
        <f>IF('[2]Memória de Cálculo'!A1722&gt;0,'[2]Memória de Cálculo'!A1722,"")</f>
        <v/>
      </c>
      <c r="B1179" s="641">
        <v>80982</v>
      </c>
      <c r="C1179" s="646" t="s">
        <v>1079</v>
      </c>
    </row>
    <row r="1180" spans="1:3" ht="15.6" hidden="1" customHeight="1">
      <c r="A1180" s="640" t="str">
        <f>IF('[2]Memória de Cálculo'!A1723&gt;0,'[2]Memória de Cálculo'!A1723,"")</f>
        <v/>
      </c>
      <c r="B1180" s="641">
        <v>80983</v>
      </c>
      <c r="C1180" s="646" t="s">
        <v>1080</v>
      </c>
    </row>
    <row r="1181" spans="1:3" ht="15.6" hidden="1" customHeight="1">
      <c r="A1181" s="649"/>
      <c r="B1181" s="650">
        <v>81000</v>
      </c>
      <c r="C1181" s="651" t="s">
        <v>2234</v>
      </c>
    </row>
    <row r="1182" spans="1:3" ht="15.6">
      <c r="A1182" s="649"/>
      <c r="B1182" s="650">
        <v>81001</v>
      </c>
      <c r="C1182" s="651" t="s">
        <v>2235</v>
      </c>
    </row>
    <row r="1183" spans="1:3" ht="15.6" hidden="1" customHeight="1">
      <c r="A1183" s="640" t="str">
        <f>IF('[2]Memória de Cálculo'!A1726&gt;0,'[2]Memória de Cálculo'!A1726,"")</f>
        <v>6.11</v>
      </c>
      <c r="B1183" s="641">
        <v>81002</v>
      </c>
      <c r="C1183" s="646" t="s">
        <v>2236</v>
      </c>
    </row>
    <row r="1184" spans="1:3">
      <c r="A1184" s="640" t="s">
        <v>3825</v>
      </c>
      <c r="B1184" s="641">
        <v>81003</v>
      </c>
      <c r="C1184" s="646" t="s">
        <v>2237</v>
      </c>
    </row>
    <row r="1185" spans="1:3" ht="15.6" hidden="1" customHeight="1">
      <c r="A1185" s="640" t="str">
        <f>IF('[2]Memória de Cálculo'!A1732&gt;0,'[2]Memória de Cálculo'!A1732,"")</f>
        <v/>
      </c>
      <c r="B1185" s="641">
        <v>81004</v>
      </c>
      <c r="C1185" s="646" t="s">
        <v>2238</v>
      </c>
    </row>
    <row r="1186" spans="1:3" ht="15.6" hidden="1" customHeight="1">
      <c r="A1186" s="640" t="str">
        <f>IF('[2]Memória de Cálculo'!A1733&gt;0,'[2]Memória de Cálculo'!A1733,"")</f>
        <v/>
      </c>
      <c r="B1186" s="641">
        <v>81005</v>
      </c>
      <c r="C1186" s="646" t="s">
        <v>2239</v>
      </c>
    </row>
    <row r="1187" spans="1:3" ht="15.6" hidden="1" customHeight="1">
      <c r="A1187" s="640" t="str">
        <f>IF('[2]Memória de Cálculo'!A1734&gt;0,'[2]Memória de Cálculo'!A1734,"")</f>
        <v/>
      </c>
      <c r="B1187" s="641">
        <v>81006</v>
      </c>
      <c r="C1187" s="646" t="s">
        <v>1087</v>
      </c>
    </row>
    <row r="1188" spans="1:3" ht="15.6" hidden="1" customHeight="1">
      <c r="A1188" s="640" t="str">
        <f>IF('[2]Memória de Cálculo'!A1735&gt;0,'[2]Memória de Cálculo'!A1735,"")</f>
        <v/>
      </c>
      <c r="B1188" s="641">
        <v>81007</v>
      </c>
      <c r="C1188" s="646" t="s">
        <v>2240</v>
      </c>
    </row>
    <row r="1189" spans="1:3" ht="15.6" hidden="1" customHeight="1">
      <c r="A1189" s="640" t="str">
        <f>IF('[2]Memória de Cálculo'!A1736&gt;0,'[2]Memória de Cálculo'!A1736,"")</f>
        <v/>
      </c>
      <c r="B1189" s="641">
        <v>81008</v>
      </c>
      <c r="C1189" s="646" t="s">
        <v>2241</v>
      </c>
    </row>
    <row r="1190" spans="1:3" ht="15.6" hidden="1" customHeight="1">
      <c r="A1190" s="640" t="str">
        <f>IF('[2]Memória de Cálculo'!A1737&gt;0,'[2]Memória de Cálculo'!A1737,"")</f>
        <v/>
      </c>
      <c r="B1190" s="641">
        <v>81009</v>
      </c>
      <c r="C1190" s="646" t="s">
        <v>2242</v>
      </c>
    </row>
    <row r="1191" spans="1:3" ht="15.6" hidden="1" customHeight="1">
      <c r="A1191" s="640" t="str">
        <f>IF('[2]Memória de Cálculo'!A1738&gt;0,'[2]Memória de Cálculo'!A1738,"")</f>
        <v/>
      </c>
      <c r="B1191" s="641">
        <v>81010</v>
      </c>
      <c r="C1191" s="646" t="s">
        <v>2243</v>
      </c>
    </row>
    <row r="1192" spans="1:3" ht="15.6" hidden="1" customHeight="1">
      <c r="A1192" s="649"/>
      <c r="B1192" s="650">
        <v>81040</v>
      </c>
      <c r="C1192" s="651" t="s">
        <v>2244</v>
      </c>
    </row>
    <row r="1193" spans="1:3" ht="15.6" hidden="1" customHeight="1">
      <c r="A1193" s="640" t="str">
        <f>IF('[2]Memória de Cálculo'!A1740&gt;0,'[2]Memória de Cálculo'!A1740,"")</f>
        <v/>
      </c>
      <c r="B1193" s="641">
        <v>81041</v>
      </c>
      <c r="C1193" s="646" t="s">
        <v>2245</v>
      </c>
    </row>
    <row r="1194" spans="1:3" ht="15.6" hidden="1" customHeight="1">
      <c r="A1194" s="640" t="str">
        <f>IF('[2]Memória de Cálculo'!A1741&gt;0,'[2]Memória de Cálculo'!A1741,"")</f>
        <v/>
      </c>
      <c r="B1194" s="641">
        <v>81042</v>
      </c>
      <c r="C1194" s="646" t="s">
        <v>2246</v>
      </c>
    </row>
    <row r="1195" spans="1:3" ht="15.6" hidden="1" customHeight="1">
      <c r="A1195" s="640" t="str">
        <f>IF('[2]Memória de Cálculo'!A1742&gt;0,'[2]Memória de Cálculo'!A1742,"")</f>
        <v/>
      </c>
      <c r="B1195" s="641">
        <v>81043</v>
      </c>
      <c r="C1195" s="646" t="s">
        <v>2247</v>
      </c>
    </row>
    <row r="1196" spans="1:3" ht="15.6" hidden="1" customHeight="1">
      <c r="A1196" s="640" t="str">
        <f>IF('[2]Memória de Cálculo'!A1743&gt;0,'[2]Memória de Cálculo'!A1743,"")</f>
        <v/>
      </c>
      <c r="B1196" s="641">
        <v>81044</v>
      </c>
      <c r="C1196" s="646" t="s">
        <v>2248</v>
      </c>
    </row>
    <row r="1197" spans="1:3" ht="15.6" hidden="1" customHeight="1">
      <c r="A1197" s="640" t="str">
        <f>IF('[2]Memória de Cálculo'!A1744&gt;0,'[2]Memória de Cálculo'!A1744,"")</f>
        <v/>
      </c>
      <c r="B1197" s="641">
        <v>81046</v>
      </c>
      <c r="C1197" s="646" t="s">
        <v>2249</v>
      </c>
    </row>
    <row r="1198" spans="1:3" ht="15.6" hidden="1" customHeight="1">
      <c r="A1198" s="640" t="str">
        <f>IF('[2]Memória de Cálculo'!A1745&gt;0,'[2]Memória de Cálculo'!A1745,"")</f>
        <v/>
      </c>
      <c r="B1198" s="641">
        <v>81055</v>
      </c>
      <c r="C1198" s="646" t="s">
        <v>2250</v>
      </c>
    </row>
    <row r="1199" spans="1:3" ht="15.6" hidden="1" customHeight="1">
      <c r="A1199" s="640" t="str">
        <f>IF('[2]Memória de Cálculo'!A1746&gt;0,'[2]Memória de Cálculo'!A1746,"")</f>
        <v/>
      </c>
      <c r="B1199" s="641">
        <v>81056</v>
      </c>
      <c r="C1199" s="646" t="s">
        <v>2251</v>
      </c>
    </row>
    <row r="1200" spans="1:3" ht="15.6" hidden="1" customHeight="1">
      <c r="A1200" s="640" t="str">
        <f>IF('[2]Memória de Cálculo'!A1747&gt;0,'[2]Memória de Cálculo'!A1747,"")</f>
        <v/>
      </c>
      <c r="B1200" s="641">
        <v>81057</v>
      </c>
      <c r="C1200" s="646" t="s">
        <v>2252</v>
      </c>
    </row>
    <row r="1201" spans="1:3" ht="15.6" hidden="1" customHeight="1">
      <c r="A1201" s="640" t="str">
        <f>IF('[2]Memória de Cálculo'!A1748&gt;0,'[2]Memória de Cálculo'!A1748,"")</f>
        <v/>
      </c>
      <c r="B1201" s="641">
        <v>81058</v>
      </c>
      <c r="C1201" s="646" t="s">
        <v>2253</v>
      </c>
    </row>
    <row r="1202" spans="1:3" ht="15.6" hidden="1" customHeight="1">
      <c r="A1202" s="640" t="str">
        <f>IF('[2]Memória de Cálculo'!A1749&gt;0,'[2]Memória de Cálculo'!A1749,"")</f>
        <v/>
      </c>
      <c r="B1202" s="641">
        <v>81065</v>
      </c>
      <c r="C1202" s="646" t="s">
        <v>2254</v>
      </c>
    </row>
    <row r="1203" spans="1:3" ht="15.6" hidden="1" customHeight="1">
      <c r="A1203" s="640" t="str">
        <f>IF('[2]Memória de Cálculo'!A1750&gt;0,'[2]Memória de Cálculo'!A1750,"")</f>
        <v/>
      </c>
      <c r="B1203" s="641">
        <v>81066</v>
      </c>
      <c r="C1203" s="646" t="s">
        <v>1103</v>
      </c>
    </row>
    <row r="1204" spans="1:3" ht="15.6" hidden="1" customHeight="1">
      <c r="A1204" s="640" t="str">
        <f>IF('[2]Memória de Cálculo'!A1751&gt;0,'[2]Memória de Cálculo'!A1751,"")</f>
        <v/>
      </c>
      <c r="B1204" s="641">
        <v>81067</v>
      </c>
      <c r="C1204" s="646" t="s">
        <v>1104</v>
      </c>
    </row>
    <row r="1205" spans="1:3" ht="15.6" hidden="1" customHeight="1">
      <c r="A1205" s="640" t="str">
        <f>IF('[2]Memória de Cálculo'!A1752&gt;0,'[2]Memória de Cálculo'!A1752,"")</f>
        <v/>
      </c>
      <c r="B1205" s="641">
        <v>81068</v>
      </c>
      <c r="C1205" s="646" t="s">
        <v>1105</v>
      </c>
    </row>
    <row r="1206" spans="1:3" ht="15.6" hidden="1" customHeight="1">
      <c r="A1206" s="640" t="str">
        <f>IF('[2]Memória de Cálculo'!A1753&gt;0,'[2]Memória de Cálculo'!A1753,"")</f>
        <v/>
      </c>
      <c r="B1206" s="641">
        <v>81069</v>
      </c>
      <c r="C1206" s="646" t="s">
        <v>2255</v>
      </c>
    </row>
    <row r="1207" spans="1:3" ht="15.6" hidden="1" customHeight="1">
      <c r="A1207" s="640" t="str">
        <f>IF('[2]Memória de Cálculo'!A1754&gt;0,'[2]Memória de Cálculo'!A1754,"")</f>
        <v/>
      </c>
      <c r="B1207" s="641">
        <v>81070</v>
      </c>
      <c r="C1207" s="646" t="s">
        <v>1107</v>
      </c>
    </row>
    <row r="1208" spans="1:3" ht="15.6" hidden="1" customHeight="1">
      <c r="A1208" s="640" t="str">
        <f>IF('[2]Memória de Cálculo'!A1755&gt;0,'[2]Memória de Cálculo'!A1755,"")</f>
        <v/>
      </c>
      <c r="B1208" s="641">
        <v>81071</v>
      </c>
      <c r="C1208" s="646" t="s">
        <v>1108</v>
      </c>
    </row>
    <row r="1209" spans="1:3" ht="15.6" hidden="1" customHeight="1">
      <c r="A1209" s="640" t="str">
        <f>IF('[2]Memória de Cálculo'!A1756&gt;0,'[2]Memória de Cálculo'!A1756,"")</f>
        <v/>
      </c>
      <c r="B1209" s="641">
        <v>81072</v>
      </c>
      <c r="C1209" s="646" t="s">
        <v>2256</v>
      </c>
    </row>
    <row r="1210" spans="1:3" ht="15.6" hidden="1" customHeight="1">
      <c r="A1210" s="640" t="str">
        <f>IF('[2]Memória de Cálculo'!A1757&gt;0,'[2]Memória de Cálculo'!A1757,"")</f>
        <v/>
      </c>
      <c r="B1210" s="641">
        <v>81073</v>
      </c>
      <c r="C1210" s="646" t="s">
        <v>2257</v>
      </c>
    </row>
    <row r="1211" spans="1:3" ht="15.6" hidden="1" customHeight="1">
      <c r="A1211" s="640" t="str">
        <f>IF('[2]Memória de Cálculo'!A1758&gt;0,'[2]Memória de Cálculo'!A1758,"")</f>
        <v/>
      </c>
      <c r="B1211" s="641">
        <v>81083</v>
      </c>
      <c r="C1211" s="646" t="s">
        <v>2258</v>
      </c>
    </row>
    <row r="1212" spans="1:3" ht="15.6" hidden="1" customHeight="1">
      <c r="A1212" s="640" t="str">
        <f>IF('[2]Memória de Cálculo'!A1759&gt;0,'[2]Memória de Cálculo'!A1759,"")</f>
        <v/>
      </c>
      <c r="B1212" s="641">
        <v>81084</v>
      </c>
      <c r="C1212" s="646" t="s">
        <v>1112</v>
      </c>
    </row>
    <row r="1213" spans="1:3" ht="15.6">
      <c r="A1213" s="649"/>
      <c r="B1213" s="650">
        <v>81100</v>
      </c>
      <c r="C1213" s="651" t="s">
        <v>1114</v>
      </c>
    </row>
    <row r="1214" spans="1:3" ht="15.6" hidden="1" customHeight="1">
      <c r="A1214" s="640" t="str">
        <f>IF('[2]Memória de Cálculo'!A1762&gt;0,'[2]Memória de Cálculo'!A1762,"")</f>
        <v>6.12</v>
      </c>
      <c r="B1214" s="641">
        <v>81101</v>
      </c>
      <c r="C1214" s="646" t="s">
        <v>1115</v>
      </c>
    </row>
    <row r="1215" spans="1:3">
      <c r="A1215" s="640" t="s">
        <v>3826</v>
      </c>
      <c r="B1215" s="641">
        <v>81102</v>
      </c>
      <c r="C1215" s="646" t="s">
        <v>1116</v>
      </c>
    </row>
    <row r="1216" spans="1:3" ht="15.6" hidden="1" customHeight="1">
      <c r="A1216" s="640" t="str">
        <f>IF('[2]Memória de Cálculo'!A1768&gt;0,'[2]Memória de Cálculo'!A1768,"")</f>
        <v/>
      </c>
      <c r="B1216" s="641">
        <v>81103</v>
      </c>
      <c r="C1216" s="646" t="s">
        <v>1117</v>
      </c>
    </row>
    <row r="1217" spans="1:3" ht="15.6" hidden="1" customHeight="1">
      <c r="A1217" s="640" t="str">
        <f>IF('[2]Memória de Cálculo'!A1769&gt;0,'[2]Memória de Cálculo'!A1769,"")</f>
        <v/>
      </c>
      <c r="B1217" s="641">
        <v>81104</v>
      </c>
      <c r="C1217" s="646" t="s">
        <v>1118</v>
      </c>
    </row>
    <row r="1218" spans="1:3" ht="15.6" hidden="1" customHeight="1">
      <c r="A1218" s="640" t="str">
        <f>IF('[2]Memória de Cálculo'!A1770&gt;0,'[2]Memória de Cálculo'!A1770,"")</f>
        <v/>
      </c>
      <c r="B1218" s="641">
        <v>81105</v>
      </c>
      <c r="C1218" s="646" t="s">
        <v>1119</v>
      </c>
    </row>
    <row r="1219" spans="1:3" ht="15.6" hidden="1" customHeight="1">
      <c r="A1219" s="640" t="str">
        <f>IF('[2]Memória de Cálculo'!A1771&gt;0,'[2]Memória de Cálculo'!A1771,"")</f>
        <v/>
      </c>
      <c r="B1219" s="641">
        <v>81106</v>
      </c>
      <c r="C1219" s="646" t="s">
        <v>1120</v>
      </c>
    </row>
    <row r="1220" spans="1:3" ht="15.6" hidden="1" customHeight="1">
      <c r="A1220" s="640" t="str">
        <f>IF('[2]Memória de Cálculo'!A1772&gt;0,'[2]Memória de Cálculo'!A1772,"")</f>
        <v/>
      </c>
      <c r="B1220" s="641">
        <v>81107</v>
      </c>
      <c r="C1220" s="646" t="s">
        <v>1121</v>
      </c>
    </row>
    <row r="1221" spans="1:3" ht="15.6" hidden="1" customHeight="1">
      <c r="A1221" s="640" t="str">
        <f>IF('[2]Memória de Cálculo'!A1773&gt;0,'[2]Memória de Cálculo'!A1773,"")</f>
        <v/>
      </c>
      <c r="B1221" s="641">
        <v>81108</v>
      </c>
      <c r="C1221" s="646" t="s">
        <v>1122</v>
      </c>
    </row>
    <row r="1222" spans="1:3" ht="15.6" hidden="1" customHeight="1">
      <c r="A1222" s="640" t="str">
        <f>IF('[2]Memória de Cálculo'!A1774&gt;0,'[2]Memória de Cálculo'!A1774,"")</f>
        <v/>
      </c>
      <c r="B1222" s="641">
        <v>81109</v>
      </c>
      <c r="C1222" s="646" t="s">
        <v>1123</v>
      </c>
    </row>
    <row r="1223" spans="1:3" ht="15.6" hidden="1" customHeight="1">
      <c r="A1223" s="640" t="str">
        <f>IF('[2]Memória de Cálculo'!A1775&gt;0,'[2]Memória de Cálculo'!A1775,"")</f>
        <v/>
      </c>
      <c r="B1223" s="641">
        <v>81120</v>
      </c>
      <c r="C1223" s="646" t="s">
        <v>1124</v>
      </c>
    </row>
    <row r="1224" spans="1:3" ht="15.6" hidden="1" customHeight="1">
      <c r="A1224" s="640" t="str">
        <f>IF('[2]Memória de Cálculo'!A1776&gt;0,'[2]Memória de Cálculo'!A1776,"")</f>
        <v/>
      </c>
      <c r="B1224" s="641">
        <v>81121</v>
      </c>
      <c r="C1224" s="646" t="s">
        <v>2259</v>
      </c>
    </row>
    <row r="1225" spans="1:3" ht="15.6" hidden="1" customHeight="1">
      <c r="A1225" s="640" t="str">
        <f>IF('[2]Memória de Cálculo'!A1777&gt;0,'[2]Memória de Cálculo'!A1777,"")</f>
        <v/>
      </c>
      <c r="B1225" s="641">
        <v>81122</v>
      </c>
      <c r="C1225" s="646" t="s">
        <v>1126</v>
      </c>
    </row>
    <row r="1226" spans="1:3" ht="15.6" hidden="1" customHeight="1">
      <c r="A1226" s="640" t="str">
        <f>IF('[2]Memória de Cálculo'!A1778&gt;0,'[2]Memória de Cálculo'!A1778,"")</f>
        <v/>
      </c>
      <c r="B1226" s="641">
        <v>81130</v>
      </c>
      <c r="C1226" s="646" t="s">
        <v>1127</v>
      </c>
    </row>
    <row r="1227" spans="1:3" ht="15.6" hidden="1" customHeight="1">
      <c r="A1227" s="640" t="str">
        <f>IF('[2]Memória de Cálculo'!A1779&gt;0,'[2]Memória de Cálculo'!A1779,"")</f>
        <v/>
      </c>
      <c r="B1227" s="641">
        <v>81131</v>
      </c>
      <c r="C1227" s="646" t="s">
        <v>1128</v>
      </c>
    </row>
    <row r="1228" spans="1:3" ht="15.6" hidden="1" customHeight="1">
      <c r="A1228" s="640" t="str">
        <f>IF('[2]Memória de Cálculo'!A1780&gt;0,'[2]Memória de Cálculo'!A1780,"")</f>
        <v/>
      </c>
      <c r="B1228" s="641">
        <v>81132</v>
      </c>
      <c r="C1228" s="646" t="s">
        <v>1129</v>
      </c>
    </row>
    <row r="1229" spans="1:3" ht="15.6" hidden="1" customHeight="1">
      <c r="A1229" s="640" t="str">
        <f>IF('[2]Memória de Cálculo'!A1781&gt;0,'[2]Memória de Cálculo'!A1781,"")</f>
        <v/>
      </c>
      <c r="B1229" s="641">
        <v>81133</v>
      </c>
      <c r="C1229" s="646" t="s">
        <v>1130</v>
      </c>
    </row>
    <row r="1230" spans="1:3" ht="15.6" hidden="1" customHeight="1">
      <c r="A1230" s="640" t="str">
        <f>IF('[2]Memória de Cálculo'!A1782&gt;0,'[2]Memória de Cálculo'!A1782,"")</f>
        <v/>
      </c>
      <c r="B1230" s="641">
        <v>81134</v>
      </c>
      <c r="C1230" s="646" t="s">
        <v>1131</v>
      </c>
    </row>
    <row r="1231" spans="1:3" ht="15.6" hidden="1" customHeight="1">
      <c r="A1231" s="640" t="str">
        <f>IF('[2]Memória de Cálculo'!A1783&gt;0,'[2]Memória de Cálculo'!A1783,"")</f>
        <v/>
      </c>
      <c r="B1231" s="641">
        <v>81144</v>
      </c>
      <c r="C1231" s="646" t="s">
        <v>2260</v>
      </c>
    </row>
    <row r="1232" spans="1:3" ht="15.6" hidden="1" customHeight="1">
      <c r="A1232" s="640" t="str">
        <f>IF('[2]Memória de Cálculo'!A1784&gt;0,'[2]Memória de Cálculo'!A1784,"")</f>
        <v/>
      </c>
      <c r="B1232" s="641">
        <v>81145</v>
      </c>
      <c r="C1232" s="646" t="s">
        <v>2261</v>
      </c>
    </row>
    <row r="1233" spans="1:3" ht="15.6" hidden="1" customHeight="1">
      <c r="A1233" s="640" t="str">
        <f>IF('[2]Memória de Cálculo'!A1785&gt;0,'[2]Memória de Cálculo'!A1785,"")</f>
        <v/>
      </c>
      <c r="B1233" s="641">
        <v>81146</v>
      </c>
      <c r="C1233" s="646" t="s">
        <v>2262</v>
      </c>
    </row>
    <row r="1234" spans="1:3" ht="16.2" hidden="1" customHeight="1">
      <c r="A1234" s="649"/>
      <c r="B1234" s="650">
        <v>81160</v>
      </c>
      <c r="C1234" s="651" t="s">
        <v>1135</v>
      </c>
    </row>
    <row r="1235" spans="1:3" ht="15.6" hidden="1" customHeight="1">
      <c r="A1235" s="640" t="str">
        <f>IF('[2]Memória de Cálculo'!A1787&gt;0,'[2]Memória de Cálculo'!A1787,"")</f>
        <v/>
      </c>
      <c r="B1235" s="641">
        <v>81161</v>
      </c>
      <c r="C1235" s="646" t="s">
        <v>2263</v>
      </c>
    </row>
    <row r="1236" spans="1:3" ht="15.6" hidden="1" customHeight="1">
      <c r="A1236" s="640" t="str">
        <f>IF('[2]Memória de Cálculo'!A1788&gt;0,'[2]Memória de Cálculo'!A1788,"")</f>
        <v/>
      </c>
      <c r="B1236" s="641">
        <v>81162</v>
      </c>
      <c r="C1236" s="646" t="s">
        <v>1137</v>
      </c>
    </row>
    <row r="1237" spans="1:3" ht="15.6" hidden="1" customHeight="1">
      <c r="A1237" s="640" t="str">
        <f>IF('[2]Memória de Cálculo'!A1789&gt;0,'[2]Memória de Cálculo'!A1789,"")</f>
        <v/>
      </c>
      <c r="B1237" s="641">
        <v>81163</v>
      </c>
      <c r="C1237" s="646" t="s">
        <v>2264</v>
      </c>
    </row>
    <row r="1238" spans="1:3" ht="15.6" hidden="1" customHeight="1">
      <c r="A1238" s="640" t="str">
        <f>IF('[2]Memória de Cálculo'!A1790&gt;0,'[2]Memória de Cálculo'!A1790,"")</f>
        <v/>
      </c>
      <c r="B1238" s="641">
        <v>81164</v>
      </c>
      <c r="C1238" s="646" t="s">
        <v>1139</v>
      </c>
    </row>
    <row r="1239" spans="1:3" ht="15.6" hidden="1" customHeight="1">
      <c r="A1239" s="640" t="str">
        <f>IF('[2]Memória de Cálculo'!A1791&gt;0,'[2]Memória de Cálculo'!A1791,"")</f>
        <v/>
      </c>
      <c r="B1239" s="641">
        <v>81165</v>
      </c>
      <c r="C1239" s="646" t="s">
        <v>1140</v>
      </c>
    </row>
    <row r="1240" spans="1:3" ht="15.6" hidden="1" customHeight="1">
      <c r="A1240" s="640" t="str">
        <f>IF('[2]Memória de Cálculo'!A1792&gt;0,'[2]Memória de Cálculo'!A1792,"")</f>
        <v/>
      </c>
      <c r="B1240" s="641">
        <v>81166</v>
      </c>
      <c r="C1240" s="646" t="s">
        <v>1141</v>
      </c>
    </row>
    <row r="1241" spans="1:3" ht="15.6" hidden="1" customHeight="1">
      <c r="A1241" s="640" t="str">
        <f>IF('[2]Memória de Cálculo'!A1793&gt;0,'[2]Memória de Cálculo'!A1793,"")</f>
        <v/>
      </c>
      <c r="B1241" s="641">
        <v>81167</v>
      </c>
      <c r="C1241" s="646" t="s">
        <v>1142</v>
      </c>
    </row>
    <row r="1242" spans="1:3" ht="15.6" hidden="1" customHeight="1">
      <c r="A1242" s="640" t="str">
        <f>IF('[2]Memória de Cálculo'!A1794&gt;0,'[2]Memória de Cálculo'!A1794,"")</f>
        <v/>
      </c>
      <c r="B1242" s="641">
        <v>81168</v>
      </c>
      <c r="C1242" s="646" t="s">
        <v>1143</v>
      </c>
    </row>
    <row r="1243" spans="1:3" ht="15.6" hidden="1" customHeight="1">
      <c r="A1243" s="640" t="str">
        <f>IF('[2]Memória de Cálculo'!A1795&gt;0,'[2]Memória de Cálculo'!A1795,"")</f>
        <v/>
      </c>
      <c r="B1243" s="641">
        <v>81175</v>
      </c>
      <c r="C1243" s="646" t="s">
        <v>2265</v>
      </c>
    </row>
    <row r="1244" spans="1:3" ht="15.6" hidden="1" customHeight="1">
      <c r="A1244" s="640" t="str">
        <f>IF('[2]Memória de Cálculo'!A1796&gt;0,'[2]Memória de Cálculo'!A1796,"")</f>
        <v/>
      </c>
      <c r="B1244" s="641">
        <v>81176</v>
      </c>
      <c r="C1244" s="646" t="s">
        <v>1145</v>
      </c>
    </row>
    <row r="1245" spans="1:3" ht="15.6" hidden="1" customHeight="1">
      <c r="A1245" s="640" t="str">
        <f>IF('[2]Memória de Cálculo'!A1797&gt;0,'[2]Memória de Cálculo'!A1797,"")</f>
        <v/>
      </c>
      <c r="B1245" s="641">
        <v>81177</v>
      </c>
      <c r="C1245" s="646" t="s">
        <v>2266</v>
      </c>
    </row>
    <row r="1246" spans="1:3" ht="15.6" hidden="1" customHeight="1">
      <c r="A1246" s="640" t="str">
        <f>IF('[2]Memória de Cálculo'!A1798&gt;0,'[2]Memória de Cálculo'!A1798,"")</f>
        <v/>
      </c>
      <c r="B1246" s="641">
        <v>81178</v>
      </c>
      <c r="C1246" s="646" t="s">
        <v>1147</v>
      </c>
    </row>
    <row r="1247" spans="1:3" ht="15.6" hidden="1" customHeight="1">
      <c r="A1247" s="640" t="str">
        <f>IF('[2]Memória de Cálculo'!A1799&gt;0,'[2]Memória de Cálculo'!A1799,"")</f>
        <v/>
      </c>
      <c r="B1247" s="641">
        <v>81179</v>
      </c>
      <c r="C1247" s="646" t="s">
        <v>1148</v>
      </c>
    </row>
    <row r="1248" spans="1:3" ht="15.6" hidden="1" customHeight="1">
      <c r="A1248" s="640" t="str">
        <f>IF('[2]Memória de Cálculo'!A1800&gt;0,'[2]Memória de Cálculo'!A1800,"")</f>
        <v/>
      </c>
      <c r="B1248" s="641">
        <v>81180</v>
      </c>
      <c r="C1248" s="646" t="s">
        <v>1149</v>
      </c>
    </row>
    <row r="1249" spans="1:3" ht="15.6" hidden="1" customHeight="1">
      <c r="A1249" s="640" t="str">
        <f>IF('[2]Memória de Cálculo'!A1801&gt;0,'[2]Memória de Cálculo'!A1801,"")</f>
        <v/>
      </c>
      <c r="B1249" s="641">
        <v>81181</v>
      </c>
      <c r="C1249" s="646" t="s">
        <v>1150</v>
      </c>
    </row>
    <row r="1250" spans="1:3" ht="15.6" hidden="1" customHeight="1">
      <c r="A1250" s="640" t="str">
        <f>IF('[2]Memória de Cálculo'!A1802&gt;0,'[2]Memória de Cálculo'!A1802,"")</f>
        <v/>
      </c>
      <c r="B1250" s="641">
        <v>81182</v>
      </c>
      <c r="C1250" s="646" t="s">
        <v>1151</v>
      </c>
    </row>
    <row r="1251" spans="1:3" ht="15.6" hidden="1" customHeight="1">
      <c r="A1251" s="640" t="str">
        <f>IF('[2]Memória de Cálculo'!A1803&gt;0,'[2]Memória de Cálculo'!A1803,"")</f>
        <v/>
      </c>
      <c r="B1251" s="641">
        <v>81183</v>
      </c>
      <c r="C1251" s="646" t="s">
        <v>1152</v>
      </c>
    </row>
    <row r="1252" spans="1:3" ht="15.6" hidden="1" customHeight="1">
      <c r="A1252" s="640" t="str">
        <f>IF('[2]Memória de Cálculo'!A1804&gt;0,'[2]Memória de Cálculo'!A1804,"")</f>
        <v/>
      </c>
      <c r="B1252" s="641">
        <v>81184</v>
      </c>
      <c r="C1252" s="646" t="s">
        <v>1153</v>
      </c>
    </row>
    <row r="1253" spans="1:3" ht="15.6" hidden="1" customHeight="1">
      <c r="A1253" s="640" t="str">
        <f>IF('[2]Memória de Cálculo'!A1805&gt;0,'[2]Memória de Cálculo'!A1805,"")</f>
        <v/>
      </c>
      <c r="B1253" s="641">
        <v>81185</v>
      </c>
      <c r="C1253" s="646" t="s">
        <v>1154</v>
      </c>
    </row>
    <row r="1254" spans="1:3" ht="15.6" hidden="1" customHeight="1">
      <c r="A1254" s="640" t="str">
        <f>IF('[2]Memória de Cálculo'!A1806&gt;0,'[2]Memória de Cálculo'!A1806,"")</f>
        <v/>
      </c>
      <c r="B1254" s="641">
        <v>81187</v>
      </c>
      <c r="C1254" s="646" t="s">
        <v>1155</v>
      </c>
    </row>
    <row r="1255" spans="1:3" ht="15.6" hidden="1" customHeight="1">
      <c r="A1255" s="649"/>
      <c r="B1255" s="650">
        <v>81200</v>
      </c>
      <c r="C1255" s="651" t="s">
        <v>1156</v>
      </c>
    </row>
    <row r="1256" spans="1:3" ht="15.6" hidden="1" customHeight="1">
      <c r="A1256" s="640" t="str">
        <f>IF('[2]Memória de Cálculo'!A1808&gt;0,'[2]Memória de Cálculo'!A1808,"")</f>
        <v/>
      </c>
      <c r="B1256" s="641">
        <v>81201</v>
      </c>
      <c r="C1256" s="646" t="s">
        <v>1157</v>
      </c>
    </row>
    <row r="1257" spans="1:3" ht="15.6" hidden="1" customHeight="1">
      <c r="A1257" s="640" t="str">
        <f>IF('[2]Memória de Cálculo'!A1809&gt;0,'[2]Memória de Cálculo'!A1809,"")</f>
        <v/>
      </c>
      <c r="B1257" s="641">
        <v>81202</v>
      </c>
      <c r="C1257" s="646" t="s">
        <v>1158</v>
      </c>
    </row>
    <row r="1258" spans="1:3" ht="15.6" hidden="1" customHeight="1">
      <c r="A1258" s="640" t="str">
        <f>IF('[2]Memória de Cálculo'!A1810&gt;0,'[2]Memória de Cálculo'!A1810,"")</f>
        <v/>
      </c>
      <c r="B1258" s="641">
        <v>81203</v>
      </c>
      <c r="C1258" s="646" t="s">
        <v>1159</v>
      </c>
    </row>
    <row r="1259" spans="1:3" ht="15.6" hidden="1" customHeight="1">
      <c r="A1259" s="640" t="str">
        <f>IF('[2]Memória de Cálculo'!A1811&gt;0,'[2]Memória de Cálculo'!A1811,"")</f>
        <v/>
      </c>
      <c r="B1259" s="641">
        <v>81204</v>
      </c>
      <c r="C1259" s="646" t="s">
        <v>1160</v>
      </c>
    </row>
    <row r="1260" spans="1:3" ht="15.6" hidden="1" customHeight="1">
      <c r="A1260" s="640" t="str">
        <f>IF('[2]Memória de Cálculo'!A1812&gt;0,'[2]Memória de Cálculo'!A1812,"")</f>
        <v/>
      </c>
      <c r="B1260" s="641">
        <v>81205</v>
      </c>
      <c r="C1260" s="646" t="s">
        <v>1161</v>
      </c>
    </row>
    <row r="1261" spans="1:3" ht="15.6" hidden="1" customHeight="1">
      <c r="A1261" s="640" t="str">
        <f>IF('[2]Memória de Cálculo'!A1813&gt;0,'[2]Memória de Cálculo'!A1813,"")</f>
        <v/>
      </c>
      <c r="B1261" s="641">
        <v>81206</v>
      </c>
      <c r="C1261" s="646" t="s">
        <v>1162</v>
      </c>
    </row>
    <row r="1262" spans="1:3" ht="15.6" hidden="1" customHeight="1">
      <c r="A1262" s="640" t="str">
        <f>IF('[2]Memória de Cálculo'!A1814&gt;0,'[2]Memória de Cálculo'!A1814,"")</f>
        <v/>
      </c>
      <c r="B1262" s="641">
        <v>81207</v>
      </c>
      <c r="C1262" s="646" t="s">
        <v>1163</v>
      </c>
    </row>
    <row r="1263" spans="1:3" ht="15.6" hidden="1" customHeight="1">
      <c r="A1263" s="640" t="str">
        <f>IF('[2]Memória de Cálculo'!A1815&gt;0,'[2]Memória de Cálculo'!A1815,"")</f>
        <v/>
      </c>
      <c r="B1263" s="641">
        <v>81208</v>
      </c>
      <c r="C1263" s="646" t="s">
        <v>1164</v>
      </c>
    </row>
    <row r="1264" spans="1:3" ht="15.6" hidden="1" customHeight="1">
      <c r="A1264" s="640" t="str">
        <f>IF('[2]Memória de Cálculo'!A1816&gt;0,'[2]Memória de Cálculo'!A1816,"")</f>
        <v/>
      </c>
      <c r="B1264" s="641">
        <v>81209</v>
      </c>
      <c r="C1264" s="646" t="s">
        <v>1165</v>
      </c>
    </row>
    <row r="1265" spans="1:3" ht="15.6" hidden="1" customHeight="1">
      <c r="A1265" s="649"/>
      <c r="B1265" s="650">
        <v>81230</v>
      </c>
      <c r="C1265" s="651" t="s">
        <v>1166</v>
      </c>
    </row>
    <row r="1266" spans="1:3" ht="15.6" hidden="1" customHeight="1">
      <c r="A1266" s="640" t="str">
        <f>IF('[2]Memória de Cálculo'!A1818&gt;0,'[2]Memória de Cálculo'!A1818,"")</f>
        <v/>
      </c>
      <c r="B1266" s="641">
        <v>81231</v>
      </c>
      <c r="C1266" s="646" t="s">
        <v>1167</v>
      </c>
    </row>
    <row r="1267" spans="1:3" ht="15.6" hidden="1" customHeight="1">
      <c r="A1267" s="640" t="str">
        <f>IF('[2]Memória de Cálculo'!A1819&gt;0,'[2]Memória de Cálculo'!A1819,"")</f>
        <v/>
      </c>
      <c r="B1267" s="641">
        <v>81232</v>
      </c>
      <c r="C1267" s="646" t="s">
        <v>1168</v>
      </c>
    </row>
    <row r="1268" spans="1:3" ht="15.6" hidden="1" customHeight="1">
      <c r="A1268" s="640" t="str">
        <f>IF('[2]Memória de Cálculo'!A1820&gt;0,'[2]Memória de Cálculo'!A1820,"")</f>
        <v/>
      </c>
      <c r="B1268" s="641">
        <v>81233</v>
      </c>
      <c r="C1268" s="646" t="s">
        <v>1169</v>
      </c>
    </row>
    <row r="1269" spans="1:3" ht="15.6" hidden="1" customHeight="1">
      <c r="A1269" s="640" t="str">
        <f>IF('[2]Memória de Cálculo'!A1821&gt;0,'[2]Memória de Cálculo'!A1821,"")</f>
        <v/>
      </c>
      <c r="B1269" s="641">
        <v>81234</v>
      </c>
      <c r="C1269" s="646" t="s">
        <v>1170</v>
      </c>
    </row>
    <row r="1270" spans="1:3" ht="15.6" hidden="1" customHeight="1">
      <c r="A1270" s="640" t="str">
        <f>IF('[2]Memória de Cálculo'!A1822&gt;0,'[2]Memória de Cálculo'!A1822,"")</f>
        <v/>
      </c>
      <c r="B1270" s="641">
        <v>81235</v>
      </c>
      <c r="C1270" s="646" t="s">
        <v>1171</v>
      </c>
    </row>
    <row r="1271" spans="1:3" ht="15.6" hidden="1" customHeight="1">
      <c r="A1271" s="640" t="str">
        <f>IF('[2]Memória de Cálculo'!A1823&gt;0,'[2]Memória de Cálculo'!A1823,"")</f>
        <v/>
      </c>
      <c r="B1271" s="641">
        <v>81236</v>
      </c>
      <c r="C1271" s="646" t="s">
        <v>1172</v>
      </c>
    </row>
    <row r="1272" spans="1:3" ht="15.6" hidden="1" customHeight="1">
      <c r="A1272" s="640" t="str">
        <f>IF('[2]Memória de Cálculo'!A1824&gt;0,'[2]Memória de Cálculo'!A1824,"")</f>
        <v/>
      </c>
      <c r="B1272" s="641">
        <v>81250</v>
      </c>
      <c r="C1272" s="646" t="s">
        <v>1173</v>
      </c>
    </row>
    <row r="1273" spans="1:3" ht="15.6" hidden="1" customHeight="1">
      <c r="A1273" s="640" t="str">
        <f>IF('[2]Memória de Cálculo'!A1825&gt;0,'[2]Memória de Cálculo'!A1825,"")</f>
        <v/>
      </c>
      <c r="B1273" s="641">
        <v>81251</v>
      </c>
      <c r="C1273" s="646" t="s">
        <v>1174</v>
      </c>
    </row>
    <row r="1274" spans="1:3" ht="15.6" hidden="1" customHeight="1">
      <c r="A1274" s="640" t="str">
        <f>IF('[2]Memória de Cálculo'!A1826&gt;0,'[2]Memória de Cálculo'!A1826,"")</f>
        <v/>
      </c>
      <c r="B1274" s="641">
        <v>81252</v>
      </c>
      <c r="C1274" s="646" t="s">
        <v>1175</v>
      </c>
    </row>
    <row r="1275" spans="1:3" ht="15.6" hidden="1" customHeight="1">
      <c r="A1275" s="640" t="str">
        <f>IF('[2]Memória de Cálculo'!A1827&gt;0,'[2]Memória de Cálculo'!A1827,"")</f>
        <v/>
      </c>
      <c r="B1275" s="641">
        <v>81253</v>
      </c>
      <c r="C1275" s="646" t="s">
        <v>1176</v>
      </c>
    </row>
    <row r="1276" spans="1:3" ht="15.6" hidden="1" customHeight="1">
      <c r="A1276" s="640" t="str">
        <f>IF('[2]Memória de Cálculo'!A1828&gt;0,'[2]Memória de Cálculo'!A1828,"")</f>
        <v/>
      </c>
      <c r="B1276" s="641">
        <v>81254</v>
      </c>
      <c r="C1276" s="646" t="s">
        <v>1177</v>
      </c>
    </row>
    <row r="1277" spans="1:3" ht="15.6" hidden="1" customHeight="1">
      <c r="A1277" s="640" t="str">
        <f>IF('[2]Memória de Cálculo'!A1829&gt;0,'[2]Memória de Cálculo'!A1829,"")</f>
        <v/>
      </c>
      <c r="B1277" s="641">
        <v>81255</v>
      </c>
      <c r="C1277" s="646" t="s">
        <v>1178</v>
      </c>
    </row>
    <row r="1278" spans="1:3" ht="15.6" hidden="1" customHeight="1">
      <c r="A1278" s="640" t="str">
        <f>IF('[2]Memória de Cálculo'!A1830&gt;0,'[2]Memória de Cálculo'!A1830,"")</f>
        <v/>
      </c>
      <c r="B1278" s="641">
        <v>81256</v>
      </c>
      <c r="C1278" s="646" t="s">
        <v>1179</v>
      </c>
    </row>
    <row r="1279" spans="1:3" ht="15.6" hidden="1" customHeight="1">
      <c r="A1279" s="640" t="str">
        <f>IF('[2]Memória de Cálculo'!A1831&gt;0,'[2]Memória de Cálculo'!A1831,"")</f>
        <v/>
      </c>
      <c r="B1279" s="641">
        <v>81257</v>
      </c>
      <c r="C1279" s="646" t="s">
        <v>1180</v>
      </c>
    </row>
    <row r="1280" spans="1:3" ht="15.6" hidden="1" customHeight="1">
      <c r="A1280" s="640" t="str">
        <f>IF('[2]Memória de Cálculo'!A1832&gt;0,'[2]Memória de Cálculo'!A1832,"")</f>
        <v/>
      </c>
      <c r="B1280" s="641">
        <v>81258</v>
      </c>
      <c r="C1280" s="646" t="s">
        <v>1181</v>
      </c>
    </row>
    <row r="1281" spans="1:3" ht="15.6">
      <c r="A1281" s="649"/>
      <c r="B1281" s="650">
        <v>81300</v>
      </c>
      <c r="C1281" s="651" t="s">
        <v>1182</v>
      </c>
    </row>
    <row r="1282" spans="1:3" ht="15.6" hidden="1" customHeight="1">
      <c r="A1282" s="640" t="str">
        <f>IF('[2]Memória de Cálculo'!A1834&gt;0,'[2]Memória de Cálculo'!A1834,"")</f>
        <v/>
      </c>
      <c r="B1282" s="641">
        <v>81301</v>
      </c>
      <c r="C1282" s="646" t="s">
        <v>1183</v>
      </c>
    </row>
    <row r="1283" spans="1:3" ht="15.6" hidden="1" customHeight="1">
      <c r="A1283" s="640" t="str">
        <f>IF('[2]Memória de Cálculo'!A1835&gt;0,'[2]Memória de Cálculo'!A1835,"")</f>
        <v/>
      </c>
      <c r="B1283" s="641">
        <v>81302</v>
      </c>
      <c r="C1283" s="646" t="s">
        <v>1184</v>
      </c>
    </row>
    <row r="1284" spans="1:3" ht="15.6" hidden="1" customHeight="1">
      <c r="A1284" s="640" t="str">
        <f>IF('[2]Memória de Cálculo'!A1836&gt;0,'[2]Memória de Cálculo'!A1836,"")</f>
        <v/>
      </c>
      <c r="B1284" s="641">
        <v>81303</v>
      </c>
      <c r="C1284" s="646" t="s">
        <v>1185</v>
      </c>
    </row>
    <row r="1285" spans="1:3" ht="15.6" hidden="1" customHeight="1">
      <c r="A1285" s="640" t="str">
        <f>IF('[2]Memória de Cálculo'!A1837&gt;0,'[2]Memória de Cálculo'!A1837,"")</f>
        <v/>
      </c>
      <c r="B1285" s="641">
        <v>81304</v>
      </c>
      <c r="C1285" s="646" t="s">
        <v>1186</v>
      </c>
    </row>
    <row r="1286" spans="1:3" ht="15.6" hidden="1" customHeight="1">
      <c r="A1286" s="640" t="str">
        <f>IF('[2]Memória de Cálculo'!A1838&gt;0,'[2]Memória de Cálculo'!A1838,"")</f>
        <v/>
      </c>
      <c r="B1286" s="641">
        <v>81305</v>
      </c>
      <c r="C1286" s="646" t="s">
        <v>1187</v>
      </c>
    </row>
    <row r="1287" spans="1:3" ht="15.6" hidden="1" customHeight="1">
      <c r="A1287" s="640" t="str">
        <f>IF('[2]Memória de Cálculo'!A1839&gt;0,'[2]Memória de Cálculo'!A1839,"")</f>
        <v/>
      </c>
      <c r="B1287" s="641">
        <v>81306</v>
      </c>
      <c r="C1287" s="646" t="s">
        <v>1188</v>
      </c>
    </row>
    <row r="1288" spans="1:3" ht="15.6" hidden="1" customHeight="1">
      <c r="A1288" s="640" t="str">
        <f>IF('[2]Memória de Cálculo'!A1840&gt;0,'[2]Memória de Cálculo'!A1840,"")</f>
        <v/>
      </c>
      <c r="B1288" s="641">
        <v>81307</v>
      </c>
      <c r="C1288" s="646" t="s">
        <v>1189</v>
      </c>
    </row>
    <row r="1289" spans="1:3" ht="15.6" hidden="1" customHeight="1">
      <c r="A1289" s="640" t="str">
        <f>IF('[2]Memória de Cálculo'!A1841&gt;0,'[2]Memória de Cálculo'!A1841,"")</f>
        <v/>
      </c>
      <c r="B1289" s="641">
        <v>81308</v>
      </c>
      <c r="C1289" s="646" t="s">
        <v>1190</v>
      </c>
    </row>
    <row r="1290" spans="1:3" ht="15.6" hidden="1" customHeight="1">
      <c r="A1290" s="640" t="str">
        <f>IF('[2]Memória de Cálculo'!A1842&gt;0,'[2]Memória de Cálculo'!A1842,"")</f>
        <v>6.13</v>
      </c>
      <c r="B1290" s="641">
        <v>81309</v>
      </c>
      <c r="C1290" s="646" t="s">
        <v>1191</v>
      </c>
    </row>
    <row r="1291" spans="1:3">
      <c r="A1291" s="640" t="s">
        <v>3827</v>
      </c>
      <c r="B1291" s="641">
        <v>81320</v>
      </c>
      <c r="C1291" s="646" t="s">
        <v>1192</v>
      </c>
    </row>
    <row r="1292" spans="1:3" ht="15.6" hidden="1" customHeight="1">
      <c r="A1292" s="640" t="str">
        <f>IF('[2]Memória de Cálculo'!A1846&gt;0,'[2]Memória de Cálculo'!A1846,"")</f>
        <v/>
      </c>
      <c r="B1292" s="641">
        <v>81321</v>
      </c>
      <c r="C1292" s="646" t="s">
        <v>1193</v>
      </c>
    </row>
    <row r="1293" spans="1:3" ht="15.6" hidden="1" customHeight="1">
      <c r="A1293" s="640" t="str">
        <f>IF('[2]Memória de Cálculo'!A1847&gt;0,'[2]Memória de Cálculo'!A1847,"")</f>
        <v/>
      </c>
      <c r="B1293" s="641">
        <v>81322</v>
      </c>
      <c r="C1293" s="646" t="s">
        <v>1194</v>
      </c>
    </row>
    <row r="1294" spans="1:3" ht="15.6" hidden="1" customHeight="1">
      <c r="A1294" s="640" t="str">
        <f>IF('[2]Memória de Cálculo'!A1848&gt;0,'[2]Memória de Cálculo'!A1848,"")</f>
        <v/>
      </c>
      <c r="B1294" s="641">
        <v>81323</v>
      </c>
      <c r="C1294" s="646" t="s">
        <v>1195</v>
      </c>
    </row>
    <row r="1295" spans="1:3" ht="15.6" hidden="1" customHeight="1">
      <c r="A1295" s="640" t="str">
        <f>IF('[2]Memória de Cálculo'!A1849&gt;0,'[2]Memória de Cálculo'!A1849,"")</f>
        <v/>
      </c>
      <c r="B1295" s="641">
        <v>81324</v>
      </c>
      <c r="C1295" s="646" t="s">
        <v>1196</v>
      </c>
    </row>
    <row r="1296" spans="1:3" ht="15.6" hidden="1" customHeight="1">
      <c r="A1296" s="640" t="str">
        <f>IF('[2]Memória de Cálculo'!A1850&gt;0,'[2]Memória de Cálculo'!A1850,"")</f>
        <v/>
      </c>
      <c r="B1296" s="641">
        <v>81325</v>
      </c>
      <c r="C1296" s="646" t="s">
        <v>1197</v>
      </c>
    </row>
    <row r="1297" spans="1:3" ht="15.6" hidden="1" customHeight="1">
      <c r="A1297" s="640" t="str">
        <f>IF('[2]Memória de Cálculo'!A1851&gt;0,'[2]Memória de Cálculo'!A1851,"")</f>
        <v/>
      </c>
      <c r="B1297" s="641">
        <v>81326</v>
      </c>
      <c r="C1297" s="646" t="s">
        <v>1198</v>
      </c>
    </row>
    <row r="1298" spans="1:3" ht="15.6" hidden="1" customHeight="1">
      <c r="A1298" s="640" t="str">
        <f>IF('[2]Memória de Cálculo'!A1852&gt;0,'[2]Memória de Cálculo'!A1852,"")</f>
        <v/>
      </c>
      <c r="B1298" s="641">
        <v>81327</v>
      </c>
      <c r="C1298" s="646" t="s">
        <v>1199</v>
      </c>
    </row>
    <row r="1299" spans="1:3" ht="15.6" hidden="1" customHeight="1">
      <c r="A1299" s="640" t="str">
        <f>IF('[2]Memória de Cálculo'!A1853&gt;0,'[2]Memória de Cálculo'!A1853,"")</f>
        <v/>
      </c>
      <c r="B1299" s="641">
        <v>81328</v>
      </c>
      <c r="C1299" s="646" t="s">
        <v>1200</v>
      </c>
    </row>
    <row r="1300" spans="1:3" ht="15.6" hidden="1" customHeight="1">
      <c r="A1300" s="640" t="str">
        <f>IF('[2]Memória de Cálculo'!A1854&gt;0,'[2]Memória de Cálculo'!A1854,"")</f>
        <v/>
      </c>
      <c r="B1300" s="641">
        <v>81340</v>
      </c>
      <c r="C1300" s="646" t="s">
        <v>2267</v>
      </c>
    </row>
    <row r="1301" spans="1:3" ht="15.6" hidden="1" customHeight="1">
      <c r="A1301" s="640" t="str">
        <f>IF('[2]Memória de Cálculo'!A1855&gt;0,'[2]Memória de Cálculo'!A1855,"")</f>
        <v/>
      </c>
      <c r="B1301" s="641">
        <v>81341</v>
      </c>
      <c r="C1301" s="646" t="s">
        <v>1202</v>
      </c>
    </row>
    <row r="1302" spans="1:3" ht="15.6" hidden="1" customHeight="1">
      <c r="A1302" s="640" t="str">
        <f>IF('[2]Memória de Cálculo'!A1856&gt;0,'[2]Memória de Cálculo'!A1856,"")</f>
        <v/>
      </c>
      <c r="B1302" s="641">
        <v>81342</v>
      </c>
      <c r="C1302" s="646" t="s">
        <v>1203</v>
      </c>
    </row>
    <row r="1303" spans="1:3" ht="15.6" hidden="1" customHeight="1">
      <c r="A1303" s="640" t="str">
        <f>IF('[2]Memória de Cálculo'!A1857&gt;0,'[2]Memória de Cálculo'!A1857,"")</f>
        <v/>
      </c>
      <c r="B1303" s="641">
        <v>81343</v>
      </c>
      <c r="C1303" s="646" t="s">
        <v>1204</v>
      </c>
    </row>
    <row r="1304" spans="1:3" ht="15.6" hidden="1" customHeight="1">
      <c r="A1304" s="640" t="str">
        <f>IF('[2]Memória de Cálculo'!A1858&gt;0,'[2]Memória de Cálculo'!A1858,"")</f>
        <v/>
      </c>
      <c r="B1304" s="641">
        <v>81350</v>
      </c>
      <c r="C1304" s="646" t="s">
        <v>2268</v>
      </c>
    </row>
    <row r="1305" spans="1:3" ht="15.6" hidden="1" customHeight="1">
      <c r="A1305" s="640" t="str">
        <f>IF('[2]Memória de Cálculo'!A1859&gt;0,'[2]Memória de Cálculo'!A1859,"")</f>
        <v/>
      </c>
      <c r="B1305" s="641">
        <v>81351</v>
      </c>
      <c r="C1305" s="646" t="s">
        <v>2269</v>
      </c>
    </row>
    <row r="1306" spans="1:3" ht="15.6" hidden="1" customHeight="1">
      <c r="A1306" s="640" t="str">
        <f>IF('[2]Memória de Cálculo'!A1860&gt;0,'[2]Memória de Cálculo'!A1860,"")</f>
        <v/>
      </c>
      <c r="B1306" s="641">
        <v>81360</v>
      </c>
      <c r="C1306" s="646" t="s">
        <v>2270</v>
      </c>
    </row>
    <row r="1307" spans="1:3" ht="15.6" hidden="1" customHeight="1">
      <c r="A1307" s="640" t="str">
        <f>IF('[2]Memória de Cálculo'!A1861&gt;0,'[2]Memória de Cálculo'!A1861,"")</f>
        <v/>
      </c>
      <c r="B1307" s="641">
        <v>81361</v>
      </c>
      <c r="C1307" s="646" t="s">
        <v>2271</v>
      </c>
    </row>
    <row r="1308" spans="1:3" ht="15.6" hidden="1" customHeight="1">
      <c r="A1308" s="640" t="str">
        <f>IF('[2]Memória de Cálculo'!A1862&gt;0,'[2]Memória de Cálculo'!A1862,"")</f>
        <v/>
      </c>
      <c r="B1308" s="641">
        <v>81368</v>
      </c>
      <c r="C1308" s="646" t="s">
        <v>2272</v>
      </c>
    </row>
    <row r="1309" spans="1:3" ht="15.6" hidden="1" customHeight="1">
      <c r="A1309" s="640" t="str">
        <f>IF('[2]Memória de Cálculo'!A1863&gt;0,'[2]Memória de Cálculo'!A1863,"")</f>
        <v/>
      </c>
      <c r="B1309" s="641">
        <v>81369</v>
      </c>
      <c r="C1309" s="646" t="s">
        <v>2273</v>
      </c>
    </row>
    <row r="1310" spans="1:3" ht="15.6" hidden="1" customHeight="1">
      <c r="A1310" s="640" t="str">
        <f>IF('[2]Memória de Cálculo'!A1864&gt;0,'[2]Memória de Cálculo'!A1864,"")</f>
        <v/>
      </c>
      <c r="B1310" s="641">
        <v>81375</v>
      </c>
      <c r="C1310" s="646" t="s">
        <v>2274</v>
      </c>
    </row>
    <row r="1311" spans="1:3" ht="15.6" hidden="1" customHeight="1">
      <c r="A1311" s="640" t="str">
        <f>IF('[2]Memória de Cálculo'!A1865&gt;0,'[2]Memória de Cálculo'!A1865,"")</f>
        <v/>
      </c>
      <c r="B1311" s="641">
        <v>81376</v>
      </c>
      <c r="C1311" s="646" t="s">
        <v>2275</v>
      </c>
    </row>
    <row r="1312" spans="1:3" ht="15.6" hidden="1" customHeight="1">
      <c r="A1312" s="640" t="str">
        <f>IF('[2]Memória de Cálculo'!A1866&gt;0,'[2]Memória de Cálculo'!A1866,"")</f>
        <v/>
      </c>
      <c r="B1312" s="641">
        <v>81380</v>
      </c>
      <c r="C1312" s="646" t="s">
        <v>1213</v>
      </c>
    </row>
    <row r="1313" spans="1:3" ht="15.6" hidden="1" customHeight="1">
      <c r="A1313" s="640" t="str">
        <f>IF('[2]Memória de Cálculo'!A1867&gt;0,'[2]Memória de Cálculo'!A1867,"")</f>
        <v/>
      </c>
      <c r="B1313" s="641">
        <v>81381</v>
      </c>
      <c r="C1313" s="646" t="s">
        <v>1214</v>
      </c>
    </row>
    <row r="1314" spans="1:3" ht="15.6">
      <c r="A1314" s="649"/>
      <c r="B1314" s="650">
        <v>81400</v>
      </c>
      <c r="C1314" s="651" t="s">
        <v>1215</v>
      </c>
    </row>
    <row r="1315" spans="1:3" ht="15.6" hidden="1" customHeight="1">
      <c r="A1315" s="640" t="str">
        <f>IF('[2]Memória de Cálculo'!A1869&gt;0,'[2]Memória de Cálculo'!A1869,"")</f>
        <v/>
      </c>
      <c r="B1315" s="641">
        <v>81401</v>
      </c>
      <c r="C1315" s="646" t="s">
        <v>1216</v>
      </c>
    </row>
    <row r="1316" spans="1:3" ht="15.6" hidden="1" customHeight="1">
      <c r="A1316" s="640" t="str">
        <f>IF('[2]Memória de Cálculo'!A1870&gt;0,'[2]Memória de Cálculo'!A1870,"")</f>
        <v/>
      </c>
      <c r="B1316" s="641">
        <v>81402</v>
      </c>
      <c r="C1316" s="646" t="s">
        <v>1217</v>
      </c>
    </row>
    <row r="1317" spans="1:3" ht="15.6" hidden="1" customHeight="1">
      <c r="A1317" s="640" t="str">
        <f>IF('[2]Memória de Cálculo'!A1871&gt;0,'[2]Memória de Cálculo'!A1871,"")</f>
        <v/>
      </c>
      <c r="B1317" s="641">
        <v>81403</v>
      </c>
      <c r="C1317" s="646" t="s">
        <v>1218</v>
      </c>
    </row>
    <row r="1318" spans="1:3" ht="15.6" hidden="1" customHeight="1">
      <c r="A1318" s="640" t="str">
        <f>IF('[2]Memória de Cálculo'!A1872&gt;0,'[2]Memória de Cálculo'!A1872,"")</f>
        <v/>
      </c>
      <c r="B1318" s="641">
        <v>81404</v>
      </c>
      <c r="C1318" s="646" t="s">
        <v>1219</v>
      </c>
    </row>
    <row r="1319" spans="1:3" ht="15.6" hidden="1" customHeight="1">
      <c r="A1319" s="640" t="str">
        <f>IF('[2]Memória de Cálculo'!A1873&gt;0,'[2]Memória de Cálculo'!A1873,"")</f>
        <v/>
      </c>
      <c r="B1319" s="641">
        <v>81405</v>
      </c>
      <c r="C1319" s="646" t="s">
        <v>1220</v>
      </c>
    </row>
    <row r="1320" spans="1:3" ht="15.6" hidden="1" customHeight="1">
      <c r="A1320" s="640" t="str">
        <f>IF('[2]Memória de Cálculo'!A1874&gt;0,'[2]Memória de Cálculo'!A1874,"")</f>
        <v/>
      </c>
      <c r="B1320" s="641">
        <v>81406</v>
      </c>
      <c r="C1320" s="646" t="s">
        <v>1221</v>
      </c>
    </row>
    <row r="1321" spans="1:3" ht="15.6" hidden="1" customHeight="1">
      <c r="A1321" s="640" t="str">
        <f>IF('[2]Memória de Cálculo'!A1875&gt;0,'[2]Memória de Cálculo'!A1875,"")</f>
        <v/>
      </c>
      <c r="B1321" s="641">
        <v>81407</v>
      </c>
      <c r="C1321" s="646" t="s">
        <v>1222</v>
      </c>
    </row>
    <row r="1322" spans="1:3" ht="15.6" hidden="1" customHeight="1">
      <c r="A1322" s="640" t="str">
        <f>IF('[2]Memória de Cálculo'!A1876&gt;0,'[2]Memória de Cálculo'!A1876,"")</f>
        <v/>
      </c>
      <c r="B1322" s="641">
        <v>81408</v>
      </c>
      <c r="C1322" s="646" t="s">
        <v>1223</v>
      </c>
    </row>
    <row r="1323" spans="1:3" ht="15.6" hidden="1" customHeight="1">
      <c r="A1323" s="640" t="str">
        <f>IF('[2]Memória de Cálculo'!A1877&gt;0,'[2]Memória de Cálculo'!A1877,"")</f>
        <v>6.14</v>
      </c>
      <c r="B1323" s="641">
        <v>81409</v>
      </c>
      <c r="C1323" s="646" t="s">
        <v>1224</v>
      </c>
    </row>
    <row r="1324" spans="1:3">
      <c r="A1324" s="640" t="s">
        <v>3828</v>
      </c>
      <c r="B1324" s="641">
        <v>81420</v>
      </c>
      <c r="C1324" s="646" t="s">
        <v>1225</v>
      </c>
    </row>
    <row r="1325" spans="1:3" ht="15.6" hidden="1" customHeight="1">
      <c r="A1325" s="640" t="str">
        <f>IF('[2]Memória de Cálculo'!A1881&gt;0,'[2]Memória de Cálculo'!A1881,"")</f>
        <v/>
      </c>
      <c r="B1325" s="641">
        <v>81421</v>
      </c>
      <c r="C1325" s="646" t="s">
        <v>1226</v>
      </c>
    </row>
    <row r="1326" spans="1:3" ht="15.6" hidden="1" customHeight="1">
      <c r="A1326" s="640" t="str">
        <f>IF('[2]Memória de Cálculo'!A1882&gt;0,'[2]Memória de Cálculo'!A1882,"")</f>
        <v/>
      </c>
      <c r="B1326" s="641">
        <v>81422</v>
      </c>
      <c r="C1326" s="646" t="s">
        <v>1227</v>
      </c>
    </row>
    <row r="1327" spans="1:3" ht="15.6" hidden="1" customHeight="1">
      <c r="A1327" s="640" t="str">
        <f>IF('[2]Memória de Cálculo'!A1883&gt;0,'[2]Memória de Cálculo'!A1883,"")</f>
        <v/>
      </c>
      <c r="B1327" s="641">
        <v>81423</v>
      </c>
      <c r="C1327" s="646" t="s">
        <v>2276</v>
      </c>
    </row>
    <row r="1328" spans="1:3" ht="15.6" hidden="1" customHeight="1">
      <c r="A1328" s="640" t="str">
        <f>IF('[2]Memória de Cálculo'!A1884&gt;0,'[2]Memória de Cálculo'!A1884,"")</f>
        <v/>
      </c>
      <c r="B1328" s="641">
        <v>81424</v>
      </c>
      <c r="C1328" s="646" t="s">
        <v>1229</v>
      </c>
    </row>
    <row r="1329" spans="1:3" ht="15.6" hidden="1" customHeight="1">
      <c r="A1329" s="640" t="str">
        <f>IF('[2]Memória de Cálculo'!A1885&gt;0,'[2]Memória de Cálculo'!A1885,"")</f>
        <v/>
      </c>
      <c r="B1329" s="641">
        <v>81425</v>
      </c>
      <c r="C1329" s="646" t="s">
        <v>1230</v>
      </c>
    </row>
    <row r="1330" spans="1:3" ht="15.6" hidden="1" customHeight="1">
      <c r="A1330" s="640" t="str">
        <f>IF('[2]Memória de Cálculo'!A1886&gt;0,'[2]Memória de Cálculo'!A1886,"")</f>
        <v/>
      </c>
      <c r="B1330" s="641">
        <v>81426</v>
      </c>
      <c r="C1330" s="646" t="s">
        <v>1231</v>
      </c>
    </row>
    <row r="1331" spans="1:3" ht="15.6" hidden="1" customHeight="1">
      <c r="A1331" s="640" t="str">
        <f>IF('[2]Memória de Cálculo'!A1887&gt;0,'[2]Memória de Cálculo'!A1887,"")</f>
        <v/>
      </c>
      <c r="B1331" s="641">
        <v>81427</v>
      </c>
      <c r="C1331" s="646" t="s">
        <v>1232</v>
      </c>
    </row>
    <row r="1332" spans="1:3" ht="15.6" hidden="1" customHeight="1">
      <c r="A1332" s="640" t="str">
        <f>IF('[2]Memória de Cálculo'!A1888&gt;0,'[2]Memória de Cálculo'!A1888,"")</f>
        <v/>
      </c>
      <c r="B1332" s="641">
        <v>81428</v>
      </c>
      <c r="C1332" s="646" t="s">
        <v>1233</v>
      </c>
    </row>
    <row r="1333" spans="1:3" ht="15.6" hidden="1" customHeight="1">
      <c r="A1333" s="640" t="str">
        <f>IF('[2]Memória de Cálculo'!A1889&gt;0,'[2]Memória de Cálculo'!A1889,"")</f>
        <v/>
      </c>
      <c r="B1333" s="641">
        <v>81429</v>
      </c>
      <c r="C1333" s="646" t="s">
        <v>1234</v>
      </c>
    </row>
    <row r="1334" spans="1:3" ht="15.6" hidden="1" customHeight="1">
      <c r="A1334" s="640" t="str">
        <f>IF('[2]Memória de Cálculo'!A1890&gt;0,'[2]Memória de Cálculo'!A1890,"")</f>
        <v/>
      </c>
      <c r="B1334" s="641">
        <v>81439</v>
      </c>
      <c r="C1334" s="646" t="s">
        <v>2277</v>
      </c>
    </row>
    <row r="1335" spans="1:3" ht="15.6" hidden="1" customHeight="1">
      <c r="A1335" s="640" t="str">
        <f>IF('[2]Memória de Cálculo'!A1891&gt;0,'[2]Memória de Cálculo'!A1891,"")</f>
        <v/>
      </c>
      <c r="B1335" s="641">
        <v>81440</v>
      </c>
      <c r="C1335" s="646" t="s">
        <v>2278</v>
      </c>
    </row>
    <row r="1336" spans="1:3" ht="15.6" hidden="1" customHeight="1">
      <c r="A1336" s="640" t="str">
        <f>IF('[2]Memória de Cálculo'!A1892&gt;0,'[2]Memória de Cálculo'!A1892,"")</f>
        <v/>
      </c>
      <c r="B1336" s="641">
        <v>81441</v>
      </c>
      <c r="C1336" s="646" t="s">
        <v>1237</v>
      </c>
    </row>
    <row r="1337" spans="1:3" ht="15.6" hidden="1" customHeight="1">
      <c r="A1337" s="640" t="str">
        <f>IF('[2]Memória de Cálculo'!A1893&gt;0,'[2]Memória de Cálculo'!A1893,"")</f>
        <v/>
      </c>
      <c r="B1337" s="641">
        <v>81442</v>
      </c>
      <c r="C1337" s="646" t="s">
        <v>2279</v>
      </c>
    </row>
    <row r="1338" spans="1:3" ht="15.6" hidden="1" customHeight="1">
      <c r="A1338" s="640" t="str">
        <f>IF('[2]Memória de Cálculo'!A1894&gt;0,'[2]Memória de Cálculo'!A1894,"")</f>
        <v/>
      </c>
      <c r="B1338" s="641">
        <v>81443</v>
      </c>
      <c r="C1338" s="646" t="s">
        <v>2280</v>
      </c>
    </row>
    <row r="1339" spans="1:3" ht="15.6" hidden="1" customHeight="1">
      <c r="A1339" s="640" t="str">
        <f>IF('[2]Memória de Cálculo'!A1895&gt;0,'[2]Memória de Cálculo'!A1895,"")</f>
        <v/>
      </c>
      <c r="B1339" s="641">
        <v>81444</v>
      </c>
      <c r="C1339" s="646" t="s">
        <v>2281</v>
      </c>
    </row>
    <row r="1340" spans="1:3" ht="15.6" hidden="1" customHeight="1">
      <c r="A1340" s="640" t="str">
        <f>IF('[2]Memória de Cálculo'!A1896&gt;0,'[2]Memória de Cálculo'!A1896,"")</f>
        <v/>
      </c>
      <c r="B1340" s="641">
        <v>81445</v>
      </c>
      <c r="C1340" s="646" t="s">
        <v>2282</v>
      </c>
    </row>
    <row r="1341" spans="1:3" ht="15.6" hidden="1" customHeight="1">
      <c r="A1341" s="649"/>
      <c r="B1341" s="650">
        <v>81460</v>
      </c>
      <c r="C1341" s="651" t="s">
        <v>1242</v>
      </c>
    </row>
    <row r="1342" spans="1:3" ht="15.6" hidden="1" customHeight="1">
      <c r="A1342" s="640" t="str">
        <f>IF('[2]Memória de Cálculo'!A1898&gt;0,'[2]Memória de Cálculo'!A1898,"")</f>
        <v/>
      </c>
      <c r="B1342" s="641">
        <v>81461</v>
      </c>
      <c r="C1342" s="646" t="s">
        <v>1243</v>
      </c>
    </row>
    <row r="1343" spans="1:3" ht="15.6" hidden="1" customHeight="1">
      <c r="A1343" s="640" t="str">
        <f>IF('[2]Memória de Cálculo'!A1899&gt;0,'[2]Memória de Cálculo'!A1899,"")</f>
        <v/>
      </c>
      <c r="B1343" s="641">
        <v>81462</v>
      </c>
      <c r="C1343" s="646" t="s">
        <v>1244</v>
      </c>
    </row>
    <row r="1344" spans="1:3" ht="15.6" hidden="1" customHeight="1">
      <c r="A1344" s="640" t="str">
        <f>IF('[2]Memória de Cálculo'!A1900&gt;0,'[2]Memória de Cálculo'!A1900,"")</f>
        <v/>
      </c>
      <c r="B1344" s="641">
        <v>81463</v>
      </c>
      <c r="C1344" s="646" t="s">
        <v>1245</v>
      </c>
    </row>
    <row r="1345" spans="1:3" ht="15.6" hidden="1" customHeight="1">
      <c r="A1345" s="640" t="str">
        <f>IF('[2]Memória de Cálculo'!A1901&gt;0,'[2]Memória de Cálculo'!A1901,"")</f>
        <v/>
      </c>
      <c r="B1345" s="641">
        <v>81464</v>
      </c>
      <c r="C1345" s="646" t="s">
        <v>1246</v>
      </c>
    </row>
    <row r="1346" spans="1:3" ht="15.6" hidden="1" customHeight="1">
      <c r="A1346" s="640" t="str">
        <f>IF('[2]Memória de Cálculo'!A1902&gt;0,'[2]Memória de Cálculo'!A1902,"")</f>
        <v/>
      </c>
      <c r="B1346" s="641">
        <v>81465</v>
      </c>
      <c r="C1346" s="646" t="s">
        <v>1247</v>
      </c>
    </row>
    <row r="1347" spans="1:3" ht="15.6" hidden="1" customHeight="1">
      <c r="A1347" s="640" t="str">
        <f>IF('[2]Memória de Cálculo'!A1903&gt;0,'[2]Memória de Cálculo'!A1903,"")</f>
        <v/>
      </c>
      <c r="B1347" s="641">
        <v>81466</v>
      </c>
      <c r="C1347" s="646" t="s">
        <v>1248</v>
      </c>
    </row>
    <row r="1348" spans="1:3" ht="15.6" hidden="1" customHeight="1">
      <c r="A1348" s="640" t="str">
        <f>IF('[2]Memória de Cálculo'!A1904&gt;0,'[2]Memória de Cálculo'!A1904,"")</f>
        <v/>
      </c>
      <c r="B1348" s="641">
        <v>81467</v>
      </c>
      <c r="C1348" s="646" t="s">
        <v>1249</v>
      </c>
    </row>
    <row r="1349" spans="1:3" ht="15.6" hidden="1" customHeight="1">
      <c r="A1349" s="649"/>
      <c r="B1349" s="650">
        <v>81500</v>
      </c>
      <c r="C1349" s="651" t="s">
        <v>1250</v>
      </c>
    </row>
    <row r="1350" spans="1:3" ht="15.6" hidden="1" customHeight="1">
      <c r="A1350" s="640" t="str">
        <f>IF('[2]Memória de Cálculo'!A1906&gt;0,'[2]Memória de Cálculo'!A1906,"")</f>
        <v/>
      </c>
      <c r="B1350" s="641">
        <v>81501</v>
      </c>
      <c r="C1350" s="646" t="s">
        <v>1251</v>
      </c>
    </row>
    <row r="1351" spans="1:3" ht="15.6" hidden="1" customHeight="1">
      <c r="A1351" s="640" t="str">
        <f>IF('[2]Memória de Cálculo'!A1907&gt;0,'[2]Memória de Cálculo'!A1907,"")</f>
        <v/>
      </c>
      <c r="B1351" s="641">
        <v>81502</v>
      </c>
      <c r="C1351" s="646" t="s">
        <v>1252</v>
      </c>
    </row>
    <row r="1352" spans="1:3" ht="15.6" hidden="1" customHeight="1">
      <c r="A1352" s="640" t="str">
        <f>IF('[2]Memória de Cálculo'!A1908&gt;0,'[2]Memória de Cálculo'!A1908,"")</f>
        <v/>
      </c>
      <c r="B1352" s="641">
        <v>81503</v>
      </c>
      <c r="C1352" s="646" t="s">
        <v>1253</v>
      </c>
    </row>
    <row r="1353" spans="1:3" ht="15.6" hidden="1" customHeight="1">
      <c r="A1353" s="640" t="str">
        <f>IF('[2]Memória de Cálculo'!A1909&gt;0,'[2]Memória de Cálculo'!A1909,"")</f>
        <v/>
      </c>
      <c r="B1353" s="641">
        <v>81504</v>
      </c>
      <c r="C1353" s="646" t="s">
        <v>1254</v>
      </c>
    </row>
    <row r="1354" spans="1:3" ht="15.6" hidden="1" customHeight="1">
      <c r="A1354" s="649"/>
      <c r="B1354" s="650">
        <v>81535</v>
      </c>
      <c r="C1354" s="651" t="s">
        <v>1255</v>
      </c>
    </row>
    <row r="1355" spans="1:3" ht="15.6" hidden="1" customHeight="1">
      <c r="A1355" s="640" t="str">
        <f>IF('[2]Memória de Cálculo'!A1911&gt;0,'[2]Memória de Cálculo'!A1911,"")</f>
        <v/>
      </c>
      <c r="B1355" s="641">
        <v>81536</v>
      </c>
      <c r="C1355" s="646" t="s">
        <v>1256</v>
      </c>
    </row>
    <row r="1356" spans="1:3" ht="15.6" hidden="1" customHeight="1">
      <c r="A1356" s="640" t="str">
        <f>IF('[2]Memória de Cálculo'!A1912&gt;0,'[2]Memória de Cálculo'!A1912,"")</f>
        <v/>
      </c>
      <c r="B1356" s="641">
        <v>81537</v>
      </c>
      <c r="C1356" s="646" t="s">
        <v>1257</v>
      </c>
    </row>
    <row r="1357" spans="1:3" ht="15.6" hidden="1" customHeight="1">
      <c r="A1357" s="640" t="str">
        <f>IF('[2]Memória de Cálculo'!A1913&gt;0,'[2]Memória de Cálculo'!A1913,"")</f>
        <v/>
      </c>
      <c r="B1357" s="641">
        <v>81538</v>
      </c>
      <c r="C1357" s="646" t="s">
        <v>1258</v>
      </c>
    </row>
    <row r="1358" spans="1:3" ht="15.6" hidden="1" customHeight="1">
      <c r="A1358" s="640" t="str">
        <f>IF('[2]Memória de Cálculo'!A1914&gt;0,'[2]Memória de Cálculo'!A1914,"")</f>
        <v/>
      </c>
      <c r="B1358" s="641">
        <v>81539</v>
      </c>
      <c r="C1358" s="646" t="s">
        <v>1259</v>
      </c>
    </row>
    <row r="1359" spans="1:3" ht="15.6" hidden="1" customHeight="1">
      <c r="A1359" s="640" t="str">
        <f>IF('[2]Memória de Cálculo'!A1915&gt;0,'[2]Memória de Cálculo'!A1915,"")</f>
        <v/>
      </c>
      <c r="B1359" s="641">
        <v>81540</v>
      </c>
      <c r="C1359" s="646" t="s">
        <v>1260</v>
      </c>
    </row>
    <row r="1360" spans="1:3" ht="15.6" hidden="1" customHeight="1">
      <c r="A1360" s="640" t="str">
        <f>IF('[2]Memória de Cálculo'!A1916&gt;0,'[2]Memória de Cálculo'!A1916,"")</f>
        <v/>
      </c>
      <c r="B1360" s="641">
        <v>81541</v>
      </c>
      <c r="C1360" s="646" t="s">
        <v>1261</v>
      </c>
    </row>
    <row r="1361" spans="1:3" ht="15.6" hidden="1" customHeight="1">
      <c r="A1361" s="640" t="str">
        <f>IF('[2]Memória de Cálculo'!A1917&gt;0,'[2]Memória de Cálculo'!A1917,"")</f>
        <v/>
      </c>
      <c r="B1361" s="641">
        <v>81550</v>
      </c>
      <c r="C1361" s="646" t="s">
        <v>2283</v>
      </c>
    </row>
    <row r="1362" spans="1:3" ht="15.6" hidden="1" customHeight="1">
      <c r="A1362" s="640" t="str">
        <f>IF('[2]Memória de Cálculo'!A1918&gt;0,'[2]Memória de Cálculo'!A1918,"")</f>
        <v/>
      </c>
      <c r="B1362" s="641">
        <v>81551</v>
      </c>
      <c r="C1362" s="646" t="s">
        <v>1263</v>
      </c>
    </row>
    <row r="1363" spans="1:3" ht="15.6" hidden="1" customHeight="1">
      <c r="A1363" s="649"/>
      <c r="B1363" s="650">
        <v>81570</v>
      </c>
      <c r="C1363" s="651" t="s">
        <v>1264</v>
      </c>
    </row>
    <row r="1364" spans="1:3" ht="15.6" hidden="1" customHeight="1">
      <c r="A1364" s="640" t="str">
        <f>IF('[2]Memória de Cálculo'!A1920&gt;0,'[2]Memória de Cálculo'!A1920,"")</f>
        <v/>
      </c>
      <c r="B1364" s="641">
        <v>81571</v>
      </c>
      <c r="C1364" s="646" t="s">
        <v>1265</v>
      </c>
    </row>
    <row r="1365" spans="1:3" ht="15.6" hidden="1" customHeight="1">
      <c r="A1365" s="640" t="str">
        <f>IF('[2]Memória de Cálculo'!A1921&gt;0,'[2]Memória de Cálculo'!A1921,"")</f>
        <v/>
      </c>
      <c r="B1365" s="641">
        <v>81572</v>
      </c>
      <c r="C1365" s="646" t="s">
        <v>1266</v>
      </c>
    </row>
    <row r="1366" spans="1:3" ht="15.6" hidden="1" customHeight="1">
      <c r="A1366" s="649"/>
      <c r="B1366" s="650">
        <v>81580</v>
      </c>
      <c r="C1366" s="651" t="s">
        <v>1267</v>
      </c>
    </row>
    <row r="1367" spans="1:3" ht="16.2" hidden="1" customHeight="1">
      <c r="A1367" s="640" t="str">
        <f>IF('[2]Memória de Cálculo'!A1923&gt;0,'[2]Memória de Cálculo'!A1923,"")</f>
        <v/>
      </c>
      <c r="B1367" s="641">
        <v>81581</v>
      </c>
      <c r="C1367" s="646" t="s">
        <v>1268</v>
      </c>
    </row>
    <row r="1368" spans="1:3" ht="15.6" hidden="1" customHeight="1">
      <c r="A1368" s="649"/>
      <c r="B1368" s="650">
        <v>81600</v>
      </c>
      <c r="C1368" s="651" t="s">
        <v>1269</v>
      </c>
    </row>
    <row r="1369" spans="1:3" ht="15.6" hidden="1" customHeight="1">
      <c r="A1369" s="649"/>
      <c r="B1369" s="650">
        <v>81601</v>
      </c>
      <c r="C1369" s="651" t="s">
        <v>1135</v>
      </c>
    </row>
    <row r="1370" spans="1:3" ht="15.6" hidden="1" customHeight="1">
      <c r="A1370" s="640" t="str">
        <f>IF('[2]Memória de Cálculo'!A1926&gt;0,'[2]Memória de Cálculo'!A1926,"")</f>
        <v/>
      </c>
      <c r="B1370" s="641">
        <v>81602</v>
      </c>
      <c r="C1370" s="646" t="s">
        <v>2284</v>
      </c>
    </row>
    <row r="1371" spans="1:3" ht="15.6" hidden="1" customHeight="1">
      <c r="A1371" s="649"/>
      <c r="B1371" s="650">
        <v>81640</v>
      </c>
      <c r="C1371" s="651" t="s">
        <v>1166</v>
      </c>
    </row>
    <row r="1372" spans="1:3" ht="14.4" hidden="1" customHeight="1">
      <c r="A1372" s="640" t="str">
        <f>IF('[2]Memória de Cálculo'!A1928&gt;0,'[2]Memória de Cálculo'!A1928,"")</f>
        <v/>
      </c>
      <c r="B1372" s="641">
        <v>81641</v>
      </c>
      <c r="C1372" s="646" t="s">
        <v>1271</v>
      </c>
    </row>
    <row r="1373" spans="1:3" ht="14.4" hidden="1" customHeight="1">
      <c r="A1373" s="640" t="str">
        <f>IF('[2]Memória de Cálculo'!A1929&gt;0,'[2]Memória de Cálculo'!A1929,"")</f>
        <v/>
      </c>
      <c r="B1373" s="641">
        <v>81642</v>
      </c>
      <c r="C1373" s="646" t="s">
        <v>1272</v>
      </c>
    </row>
    <row r="1374" spans="1:3" ht="15.6" hidden="1" customHeight="1">
      <c r="A1374" s="640" t="str">
        <f>IF('[2]Memória de Cálculo'!A1930&gt;0,'[2]Memória de Cálculo'!A1930,"")</f>
        <v/>
      </c>
      <c r="B1374" s="641">
        <v>81643</v>
      </c>
      <c r="C1374" s="646" t="s">
        <v>1273</v>
      </c>
    </row>
    <row r="1375" spans="1:3" ht="15.6" hidden="1" customHeight="1">
      <c r="A1375" s="649"/>
      <c r="B1375" s="650">
        <v>81660</v>
      </c>
      <c r="C1375" s="651" t="s">
        <v>2285</v>
      </c>
    </row>
    <row r="1376" spans="1:3" ht="15.6" hidden="1" customHeight="1">
      <c r="A1376" s="640" t="str">
        <f>IF('[2]Memória de Cálculo'!A1932&gt;0,'[2]Memória de Cálculo'!A1932,"")</f>
        <v/>
      </c>
      <c r="B1376" s="641">
        <v>81661</v>
      </c>
      <c r="C1376" s="646" t="s">
        <v>2286</v>
      </c>
    </row>
    <row r="1377" spans="1:3" ht="15.6" hidden="1" customHeight="1">
      <c r="A1377" s="640" t="str">
        <f>IF('[2]Memória de Cálculo'!A1933&gt;0,'[2]Memória de Cálculo'!A1933,"")</f>
        <v/>
      </c>
      <c r="B1377" s="641">
        <v>81662</v>
      </c>
      <c r="C1377" s="646" t="s">
        <v>2287</v>
      </c>
    </row>
    <row r="1378" spans="1:3" ht="15.6" hidden="1" customHeight="1">
      <c r="A1378" s="640" t="str">
        <f>IF('[2]Memória de Cálculo'!A1934&gt;0,'[2]Memória de Cálculo'!A1934,"")</f>
        <v/>
      </c>
      <c r="B1378" s="641">
        <v>81663</v>
      </c>
      <c r="C1378" s="646" t="s">
        <v>2288</v>
      </c>
    </row>
    <row r="1379" spans="1:3" ht="15.6" hidden="1" customHeight="1">
      <c r="A1379" s="640" t="str">
        <f>IF('[2]Memória de Cálculo'!A1935&gt;0,'[2]Memória de Cálculo'!A1935,"")</f>
        <v/>
      </c>
      <c r="B1379" s="641">
        <v>81664</v>
      </c>
      <c r="C1379" s="646" t="s">
        <v>2289</v>
      </c>
    </row>
    <row r="1380" spans="1:3" ht="15.6" hidden="1" customHeight="1">
      <c r="A1380" s="640" t="str">
        <f>IF('[2]Memória de Cálculo'!A1936&gt;0,'[2]Memória de Cálculo'!A1936,"")</f>
        <v/>
      </c>
      <c r="B1380" s="641">
        <v>81665</v>
      </c>
      <c r="C1380" s="646" t="s">
        <v>2290</v>
      </c>
    </row>
    <row r="1381" spans="1:3" ht="15.6" hidden="1" customHeight="1">
      <c r="A1381" s="640" t="str">
        <f>IF('[2]Memória de Cálculo'!A1937&gt;0,'[2]Memória de Cálculo'!A1937,"")</f>
        <v/>
      </c>
      <c r="B1381" s="641">
        <v>81666</v>
      </c>
      <c r="C1381" s="646" t="s">
        <v>2291</v>
      </c>
    </row>
    <row r="1382" spans="1:3" ht="15.6" hidden="1" customHeight="1">
      <c r="A1382" s="640" t="str">
        <f>IF('[2]Memória de Cálculo'!A1938&gt;0,'[2]Memória de Cálculo'!A1938,"")</f>
        <v/>
      </c>
      <c r="B1382" s="641">
        <v>81679</v>
      </c>
      <c r="C1382" s="646" t="s">
        <v>1281</v>
      </c>
    </row>
    <row r="1383" spans="1:3" ht="15.6" hidden="1" customHeight="1">
      <c r="A1383" s="640" t="str">
        <f>IF('[2]Memória de Cálculo'!A1939&gt;0,'[2]Memória de Cálculo'!A1939,"")</f>
        <v/>
      </c>
      <c r="B1383" s="641">
        <v>81680</v>
      </c>
      <c r="C1383" s="646" t="s">
        <v>1282</v>
      </c>
    </row>
    <row r="1384" spans="1:3" ht="15.6" hidden="1" customHeight="1">
      <c r="A1384" s="640" t="str">
        <f>IF('[2]Memória de Cálculo'!A1940&gt;0,'[2]Memória de Cálculo'!A1940,"")</f>
        <v/>
      </c>
      <c r="B1384" s="641">
        <v>81681</v>
      </c>
      <c r="C1384" s="646" t="s">
        <v>1283</v>
      </c>
    </row>
    <row r="1385" spans="1:3" ht="15.6" hidden="1" customHeight="1">
      <c r="A1385" s="640" t="str">
        <f>IF('[2]Memória de Cálculo'!A1941&gt;0,'[2]Memória de Cálculo'!A1941,"")</f>
        <v/>
      </c>
      <c r="B1385" s="641">
        <v>81690</v>
      </c>
      <c r="C1385" s="646" t="s">
        <v>1284</v>
      </c>
    </row>
    <row r="1386" spans="1:3" ht="15.6" hidden="1" customHeight="1">
      <c r="A1386" s="640" t="str">
        <f>IF('[2]Memória de Cálculo'!A1942&gt;0,'[2]Memória de Cálculo'!A1942,"")</f>
        <v/>
      </c>
      <c r="B1386" s="641">
        <v>81691</v>
      </c>
      <c r="C1386" s="646" t="s">
        <v>1285</v>
      </c>
    </row>
    <row r="1387" spans="1:3" ht="15.6" hidden="1" customHeight="1">
      <c r="A1387" s="640" t="str">
        <f>IF('[2]Memória de Cálculo'!A1943&gt;0,'[2]Memória de Cálculo'!A1943,"")</f>
        <v/>
      </c>
      <c r="B1387" s="641">
        <v>81695</v>
      </c>
      <c r="C1387" s="646" t="s">
        <v>1286</v>
      </c>
    </row>
    <row r="1388" spans="1:3" ht="15.6" hidden="1" customHeight="1">
      <c r="A1388" s="640" t="str">
        <f>IF('[2]Memória de Cálculo'!A1944&gt;0,'[2]Memória de Cálculo'!A1944,"")</f>
        <v/>
      </c>
      <c r="B1388" s="641">
        <v>81696</v>
      </c>
      <c r="C1388" s="646" t="s">
        <v>1287</v>
      </c>
    </row>
    <row r="1389" spans="1:3" ht="15.6" hidden="1" customHeight="1">
      <c r="A1389" s="640" t="str">
        <f>IF('[2]Memória de Cálculo'!A1945&gt;0,'[2]Memória de Cálculo'!A1945,"")</f>
        <v/>
      </c>
      <c r="B1389" s="641">
        <v>81697</v>
      </c>
      <c r="C1389" s="646" t="s">
        <v>1288</v>
      </c>
    </row>
    <row r="1390" spans="1:3" ht="15.6" hidden="1" customHeight="1">
      <c r="A1390" s="649"/>
      <c r="B1390" s="650">
        <v>81700</v>
      </c>
      <c r="C1390" s="651" t="s">
        <v>1255</v>
      </c>
    </row>
    <row r="1391" spans="1:3" ht="15.6" hidden="1" customHeight="1">
      <c r="A1391" s="640" t="str">
        <f>IF('[2]Memória de Cálculo'!A1947&gt;0,'[2]Memória de Cálculo'!A1947,"")</f>
        <v/>
      </c>
      <c r="B1391" s="641">
        <v>81701</v>
      </c>
      <c r="C1391" s="646" t="s">
        <v>2292</v>
      </c>
    </row>
    <row r="1392" spans="1:3" ht="15.6" hidden="1" customHeight="1">
      <c r="A1392" s="640" t="str">
        <f>IF('[2]Memória de Cálculo'!A1948&gt;0,'[2]Memória de Cálculo'!A1948,"")</f>
        <v/>
      </c>
      <c r="B1392" s="641">
        <v>81702</v>
      </c>
      <c r="C1392" s="646" t="s">
        <v>2293</v>
      </c>
    </row>
    <row r="1393" spans="1:3" ht="15.6" hidden="1" customHeight="1">
      <c r="A1393" s="640" t="str">
        <f>IF('[2]Memória de Cálculo'!A1949&gt;0,'[2]Memória de Cálculo'!A1949,"")</f>
        <v/>
      </c>
      <c r="B1393" s="641">
        <v>81730</v>
      </c>
      <c r="C1393" s="646" t="s">
        <v>2294</v>
      </c>
    </row>
    <row r="1394" spans="1:3" ht="15.6" hidden="1" customHeight="1">
      <c r="A1394" s="640" t="str">
        <f>IF('[2]Memória de Cálculo'!A1950&gt;0,'[2]Memória de Cálculo'!A1950,"")</f>
        <v/>
      </c>
      <c r="B1394" s="641">
        <v>81731</v>
      </c>
      <c r="C1394" s="646" t="s">
        <v>2295</v>
      </c>
    </row>
    <row r="1395" spans="1:3" ht="15.6" hidden="1" customHeight="1">
      <c r="A1395" s="640" t="str">
        <f>IF('[2]Memória de Cálculo'!A1951&gt;0,'[2]Memória de Cálculo'!A1951,"")</f>
        <v/>
      </c>
      <c r="B1395" s="641">
        <v>81732</v>
      </c>
      <c r="C1395" s="646" t="s">
        <v>2296</v>
      </c>
    </row>
    <row r="1396" spans="1:3" ht="15.6" hidden="1" customHeight="1">
      <c r="A1396" s="640" t="str">
        <f>IF('[2]Memória de Cálculo'!A1952&gt;0,'[2]Memória de Cálculo'!A1952,"")</f>
        <v/>
      </c>
      <c r="B1396" s="641">
        <v>81733</v>
      </c>
      <c r="C1396" s="646" t="s">
        <v>2297</v>
      </c>
    </row>
    <row r="1397" spans="1:3" ht="15.6" hidden="1" customHeight="1">
      <c r="A1397" s="640" t="str">
        <f>IF('[2]Memória de Cálculo'!A1953&gt;0,'[2]Memória de Cálculo'!A1953,"")</f>
        <v/>
      </c>
      <c r="B1397" s="641">
        <v>81734</v>
      </c>
      <c r="C1397" s="646" t="s">
        <v>2298</v>
      </c>
    </row>
    <row r="1398" spans="1:3" ht="15.6" hidden="1" customHeight="1">
      <c r="A1398" s="640" t="str">
        <f>IF('[2]Memória de Cálculo'!A1954&gt;0,'[2]Memória de Cálculo'!A1954,"")</f>
        <v/>
      </c>
      <c r="B1398" s="641">
        <v>81735</v>
      </c>
      <c r="C1398" s="646" t="s">
        <v>2299</v>
      </c>
    </row>
    <row r="1399" spans="1:3" ht="15.6" hidden="1" customHeight="1">
      <c r="A1399" s="640" t="str">
        <f>IF('[2]Memória de Cálculo'!A1955&gt;0,'[2]Memória de Cálculo'!A1955,"")</f>
        <v/>
      </c>
      <c r="B1399" s="641">
        <v>81736</v>
      </c>
      <c r="C1399" s="646" t="s">
        <v>2300</v>
      </c>
    </row>
    <row r="1400" spans="1:3" ht="15.6" hidden="1" customHeight="1">
      <c r="A1400" s="640" t="str">
        <f>IF('[2]Memória de Cálculo'!A1956&gt;0,'[2]Memória de Cálculo'!A1956,"")</f>
        <v/>
      </c>
      <c r="B1400" s="641">
        <v>81737</v>
      </c>
      <c r="C1400" s="646" t="s">
        <v>2301</v>
      </c>
    </row>
    <row r="1401" spans="1:3" ht="16.2" customHeight="1">
      <c r="A1401" s="649"/>
      <c r="B1401" s="650">
        <v>81750</v>
      </c>
      <c r="C1401" s="651" t="s">
        <v>1299</v>
      </c>
    </row>
    <row r="1402" spans="1:3">
      <c r="A1402" s="640" t="s">
        <v>3829</v>
      </c>
      <c r="B1402" s="641">
        <v>81751</v>
      </c>
      <c r="C1402" s="646" t="s">
        <v>1300</v>
      </c>
    </row>
    <row r="1403" spans="1:3" ht="15.6" hidden="1" customHeight="1">
      <c r="A1403" s="640" t="str">
        <f>IF('[2]Memória de Cálculo'!A1963&gt;0,'[2]Memória de Cálculo'!A1963,"")</f>
        <v/>
      </c>
      <c r="B1403" s="641">
        <v>81752</v>
      </c>
      <c r="C1403" s="646" t="s">
        <v>1301</v>
      </c>
    </row>
    <row r="1404" spans="1:3" ht="15.6" hidden="1" customHeight="1">
      <c r="A1404" s="640" t="str">
        <f>IF('[2]Memória de Cálculo'!A1964&gt;0,'[2]Memória de Cálculo'!A1964,"")</f>
        <v/>
      </c>
      <c r="B1404" s="641">
        <v>81760</v>
      </c>
      <c r="C1404" s="646" t="s">
        <v>1302</v>
      </c>
    </row>
    <row r="1405" spans="1:3" ht="15.6" hidden="1" customHeight="1">
      <c r="A1405" s="640" t="str">
        <f>IF('[2]Memória de Cálculo'!A1965&gt;0,'[2]Memória de Cálculo'!A1965,"")</f>
        <v/>
      </c>
      <c r="B1405" s="641">
        <v>81761</v>
      </c>
      <c r="C1405" s="646" t="s">
        <v>1303</v>
      </c>
    </row>
    <row r="1406" spans="1:3" ht="15.6" hidden="1" customHeight="1">
      <c r="A1406" s="640" t="str">
        <f>IF('[2]Memória de Cálculo'!A1966&gt;0,'[2]Memória de Cálculo'!A1966,"")</f>
        <v/>
      </c>
      <c r="B1406" s="641">
        <v>81770</v>
      </c>
      <c r="C1406" s="646" t="s">
        <v>1304</v>
      </c>
    </row>
    <row r="1407" spans="1:3" ht="15.6" hidden="1" customHeight="1">
      <c r="A1407" s="640" t="str">
        <f>IF('[2]Memória de Cálculo'!A1967&gt;0,'[2]Memória de Cálculo'!A1967,"")</f>
        <v/>
      </c>
      <c r="B1407" s="641">
        <v>81771</v>
      </c>
      <c r="C1407" s="646" t="s">
        <v>1305</v>
      </c>
    </row>
    <row r="1408" spans="1:3" ht="15.6" hidden="1" customHeight="1">
      <c r="A1408" s="640" t="str">
        <f>IF('[2]Memória de Cálculo'!A1968&gt;0,'[2]Memória de Cálculo'!A1968,"")</f>
        <v/>
      </c>
      <c r="B1408" s="641">
        <v>81778</v>
      </c>
      <c r="C1408" s="646" t="s">
        <v>1306</v>
      </c>
    </row>
    <row r="1409" spans="1:3" ht="15.6" hidden="1" customHeight="1">
      <c r="A1409" s="640" t="str">
        <f>IF('[2]Memória de Cálculo'!A1969&gt;0,'[2]Memória de Cálculo'!A1969,"")</f>
        <v/>
      </c>
      <c r="B1409" s="641">
        <v>81779</v>
      </c>
      <c r="C1409" s="646" t="s">
        <v>1307</v>
      </c>
    </row>
    <row r="1410" spans="1:3" ht="15.6" hidden="1" customHeight="1">
      <c r="A1410" s="640" t="str">
        <f>IF('[2]Memória de Cálculo'!A1970&gt;0,'[2]Memória de Cálculo'!A1970,"")</f>
        <v/>
      </c>
      <c r="B1410" s="641">
        <v>81783</v>
      </c>
      <c r="C1410" s="646" t="s">
        <v>1308</v>
      </c>
    </row>
    <row r="1411" spans="1:3" ht="15.6" hidden="1" customHeight="1">
      <c r="A1411" s="640" t="str">
        <f>IF('[2]Memória de Cálculo'!A1971&gt;0,'[2]Memória de Cálculo'!A1971,"")</f>
        <v/>
      </c>
      <c r="B1411" s="641">
        <v>81784</v>
      </c>
      <c r="C1411" s="646" t="s">
        <v>1309</v>
      </c>
    </row>
    <row r="1412" spans="1:3" ht="15.6" hidden="1" customHeight="1">
      <c r="A1412" s="640" t="str">
        <f>IF('[2]Memória de Cálculo'!A1972&gt;0,'[2]Memória de Cálculo'!A1972,"")</f>
        <v/>
      </c>
      <c r="B1412" s="641">
        <v>81785</v>
      </c>
      <c r="C1412" s="646" t="s">
        <v>1310</v>
      </c>
    </row>
    <row r="1413" spans="1:3" ht="15.6" hidden="1" customHeight="1">
      <c r="A1413" s="640" t="str">
        <f>IF('[2]Memória de Cálculo'!A1973&gt;0,'[2]Memória de Cálculo'!A1973,"")</f>
        <v/>
      </c>
      <c r="B1413" s="641">
        <v>81786</v>
      </c>
      <c r="C1413" s="646" t="s">
        <v>1311</v>
      </c>
    </row>
    <row r="1414" spans="1:3" ht="15.6" hidden="1" customHeight="1">
      <c r="A1414" s="640" t="str">
        <f>IF('[2]Memória de Cálculo'!A1974&gt;0,'[2]Memória de Cálculo'!A1974,"")</f>
        <v/>
      </c>
      <c r="B1414" s="641">
        <v>81790</v>
      </c>
      <c r="C1414" s="646" t="s">
        <v>1312</v>
      </c>
    </row>
    <row r="1415" spans="1:3" ht="15.6" hidden="1" customHeight="1">
      <c r="A1415" s="640" t="str">
        <f>IF('[2]Memória de Cálculo'!A1975&gt;0,'[2]Memória de Cálculo'!A1975,"")</f>
        <v/>
      </c>
      <c r="B1415" s="641">
        <v>81791</v>
      </c>
      <c r="C1415" s="646" t="s">
        <v>1313</v>
      </c>
    </row>
    <row r="1416" spans="1:3" ht="15.6" hidden="1" customHeight="1">
      <c r="A1416" s="640" t="str">
        <f>IF('[2]Memória de Cálculo'!A1976&gt;0,'[2]Memória de Cálculo'!A1976,"")</f>
        <v/>
      </c>
      <c r="B1416" s="641">
        <v>81792</v>
      </c>
      <c r="C1416" s="646" t="s">
        <v>1314</v>
      </c>
    </row>
    <row r="1417" spans="1:3" ht="15.6" hidden="1" customHeight="1">
      <c r="A1417" s="640" t="str">
        <f>IF('[2]Memória de Cálculo'!A1977&gt;0,'[2]Memória de Cálculo'!A1977,"")</f>
        <v/>
      </c>
      <c r="B1417" s="641">
        <v>81793</v>
      </c>
      <c r="C1417" s="646" t="s">
        <v>1315</v>
      </c>
    </row>
    <row r="1418" spans="1:3" ht="15.6" hidden="1" customHeight="1">
      <c r="A1418" s="649"/>
      <c r="B1418" s="650">
        <v>81810</v>
      </c>
      <c r="C1418" s="651" t="s">
        <v>1316</v>
      </c>
    </row>
    <row r="1419" spans="1:3" ht="15.6" hidden="1" customHeight="1">
      <c r="A1419" s="640" t="str">
        <f>IF('[2]Memória de Cálculo'!A1979&gt;0,'[2]Memória de Cálculo'!A1979,"")</f>
        <v/>
      </c>
      <c r="B1419" s="641">
        <v>81811</v>
      </c>
      <c r="C1419" s="646" t="s">
        <v>1317</v>
      </c>
    </row>
    <row r="1420" spans="1:3" ht="15.6" hidden="1" customHeight="1">
      <c r="A1420" s="640" t="str">
        <f>IF('[2]Memória de Cálculo'!A1980&gt;0,'[2]Memória de Cálculo'!A1980,"")</f>
        <v/>
      </c>
      <c r="B1420" s="641">
        <v>81815</v>
      </c>
      <c r="C1420" s="646" t="s">
        <v>1318</v>
      </c>
    </row>
    <row r="1421" spans="1:3" ht="15.6" hidden="1" customHeight="1">
      <c r="A1421" s="640" t="str">
        <f>IF('[2]Memória de Cálculo'!A1981&gt;0,'[2]Memória de Cálculo'!A1981,"")</f>
        <v/>
      </c>
      <c r="B1421" s="641">
        <v>81819</v>
      </c>
      <c r="C1421" s="646" t="s">
        <v>1319</v>
      </c>
    </row>
    <row r="1422" spans="1:3" ht="15.6" hidden="1" customHeight="1">
      <c r="A1422" s="640" t="str">
        <f>IF('[2]Memória de Cálculo'!A1982&gt;0,'[2]Memória de Cálculo'!A1982,"")</f>
        <v/>
      </c>
      <c r="B1422" s="641">
        <v>81822</v>
      </c>
      <c r="C1422" s="646" t="s">
        <v>1320</v>
      </c>
    </row>
    <row r="1423" spans="1:3" ht="15.6" hidden="1" customHeight="1">
      <c r="A1423" s="640" t="str">
        <f>IF('[2]Memória de Cálculo'!A1983&gt;0,'[2]Memória de Cálculo'!A1983,"")</f>
        <v/>
      </c>
      <c r="B1423" s="641">
        <v>81823</v>
      </c>
      <c r="C1423" s="646" t="s">
        <v>1321</v>
      </c>
    </row>
    <row r="1424" spans="1:3" ht="26.4" hidden="1" customHeight="1">
      <c r="A1424" s="640" t="str">
        <f>IF('[2]Memória de Cálculo'!A1984&gt;0,'[2]Memória de Cálculo'!A1984,"")</f>
        <v/>
      </c>
      <c r="B1424" s="641">
        <v>81824</v>
      </c>
      <c r="C1424" s="646" t="s">
        <v>1322</v>
      </c>
    </row>
    <row r="1425" spans="1:3" ht="15.6" hidden="1" customHeight="1">
      <c r="A1425" s="640" t="str">
        <f>IF('[2]Memória de Cálculo'!A1985&gt;0,'[2]Memória de Cálculo'!A1985,"")</f>
        <v/>
      </c>
      <c r="B1425" s="641">
        <v>81825</v>
      </c>
      <c r="C1425" s="646" t="s">
        <v>1323</v>
      </c>
    </row>
    <row r="1426" spans="1:3" ht="15.6" hidden="1" customHeight="1">
      <c r="A1426" s="640" t="str">
        <f>IF('[2]Memória de Cálculo'!A1986&gt;0,'[2]Memória de Cálculo'!A1986,"")</f>
        <v/>
      </c>
      <c r="B1426" s="641">
        <v>81826</v>
      </c>
      <c r="C1426" s="646" t="s">
        <v>1324</v>
      </c>
    </row>
    <row r="1427" spans="1:3" ht="15.6" hidden="1" customHeight="1">
      <c r="A1427" s="640" t="str">
        <f>IF('[2]Memória de Cálculo'!A1987&gt;0,'[2]Memória de Cálculo'!A1987,"")</f>
        <v/>
      </c>
      <c r="B1427" s="641">
        <v>81827</v>
      </c>
      <c r="C1427" s="646" t="s">
        <v>1325</v>
      </c>
    </row>
    <row r="1428" spans="1:3" ht="16.2" hidden="1" customHeight="1">
      <c r="A1428" s="640" t="str">
        <f>IF('[2]Memória de Cálculo'!A1988&gt;0,'[2]Memória de Cálculo'!A1988,"")</f>
        <v/>
      </c>
      <c r="B1428" s="641">
        <v>81828</v>
      </c>
      <c r="C1428" s="646" t="s">
        <v>1326</v>
      </c>
    </row>
    <row r="1429" spans="1:3" ht="28.2" hidden="1" customHeight="1">
      <c r="A1429" s="640" t="str">
        <f>IF('[2]Memória de Cálculo'!A1989&gt;0,'[2]Memória de Cálculo'!A1989,"")</f>
        <v/>
      </c>
      <c r="B1429" s="641">
        <v>81829</v>
      </c>
      <c r="C1429" s="646" t="s">
        <v>1327</v>
      </c>
    </row>
    <row r="1430" spans="1:3" ht="26.4" hidden="1" customHeight="1">
      <c r="A1430" s="640" t="str">
        <f>IF('[2]Memória de Cálculo'!A1990&gt;0,'[2]Memória de Cálculo'!A1990,"")</f>
        <v/>
      </c>
      <c r="B1430" s="641">
        <v>81830</v>
      </c>
      <c r="C1430" s="646" t="s">
        <v>1328</v>
      </c>
    </row>
    <row r="1431" spans="1:3" ht="26.4" hidden="1" customHeight="1">
      <c r="A1431" s="640" t="str">
        <f>IF('[2]Memória de Cálculo'!A1991&gt;0,'[2]Memória de Cálculo'!A1991,"")</f>
        <v/>
      </c>
      <c r="B1431" s="641">
        <v>81831</v>
      </c>
      <c r="C1431" s="646" t="s">
        <v>1329</v>
      </c>
    </row>
    <row r="1432" spans="1:3" ht="26.4" hidden="1" customHeight="1">
      <c r="A1432" s="640" t="str">
        <f>IF('[2]Memória de Cálculo'!A1992&gt;0,'[2]Memória de Cálculo'!A1992,"")</f>
        <v/>
      </c>
      <c r="B1432" s="641">
        <v>81832</v>
      </c>
      <c r="C1432" s="646" t="s">
        <v>1330</v>
      </c>
    </row>
    <row r="1433" spans="1:3" ht="15.6" hidden="1" customHeight="1">
      <c r="A1433" s="640" t="str">
        <f>IF('[2]Memória de Cálculo'!A1993&gt;0,'[2]Memória de Cálculo'!A1993,"")</f>
        <v/>
      </c>
      <c r="B1433" s="641">
        <v>81833</v>
      </c>
      <c r="C1433" s="646" t="s">
        <v>1331</v>
      </c>
    </row>
    <row r="1434" spans="1:3" ht="15.6" hidden="1" customHeight="1">
      <c r="A1434" s="640" t="str">
        <f>IF('[2]Memória de Cálculo'!A1994&gt;0,'[2]Memória de Cálculo'!A1994,"")</f>
        <v/>
      </c>
      <c r="B1434" s="641">
        <v>81834</v>
      </c>
      <c r="C1434" s="646" t="s">
        <v>1332</v>
      </c>
    </row>
    <row r="1435" spans="1:3" ht="15.6" hidden="1" customHeight="1">
      <c r="A1435" s="640" t="str">
        <f>IF('[2]Memória de Cálculo'!A1995&gt;0,'[2]Memória de Cálculo'!A1995,"")</f>
        <v/>
      </c>
      <c r="B1435" s="641">
        <v>81835</v>
      </c>
      <c r="C1435" s="646" t="s">
        <v>1333</v>
      </c>
    </row>
    <row r="1436" spans="1:3" ht="15.6" hidden="1" customHeight="1">
      <c r="A1436" s="640" t="str">
        <f>IF('[2]Memória de Cálculo'!A1996&gt;0,'[2]Memória de Cálculo'!A1996,"")</f>
        <v/>
      </c>
      <c r="B1436" s="641">
        <v>81840</v>
      </c>
      <c r="C1436" s="646" t="s">
        <v>1334</v>
      </c>
    </row>
    <row r="1437" spans="1:3" ht="15.6" hidden="1" customHeight="1">
      <c r="A1437" s="640" t="str">
        <f>IF('[2]Memória de Cálculo'!A1997&gt;0,'[2]Memória de Cálculo'!A1997,"")</f>
        <v/>
      </c>
      <c r="B1437" s="641">
        <v>81841</v>
      </c>
      <c r="C1437" s="646" t="s">
        <v>1335</v>
      </c>
    </row>
    <row r="1438" spans="1:3" ht="15.6" hidden="1" customHeight="1">
      <c r="A1438" s="640" t="str">
        <f>IF('[2]Memória de Cálculo'!A1998&gt;0,'[2]Memória de Cálculo'!A1998,"")</f>
        <v/>
      </c>
      <c r="B1438" s="641">
        <v>81842</v>
      </c>
      <c r="C1438" s="646" t="s">
        <v>1336</v>
      </c>
    </row>
    <row r="1439" spans="1:3" ht="26.4" hidden="1" customHeight="1">
      <c r="A1439" s="640" t="str">
        <f>IF('[2]Memória de Cálculo'!A1999&gt;0,'[2]Memória de Cálculo'!A1999,"")</f>
        <v/>
      </c>
      <c r="B1439" s="641">
        <v>81846</v>
      </c>
      <c r="C1439" s="646" t="s">
        <v>1337</v>
      </c>
    </row>
    <row r="1440" spans="1:3" ht="15.6" hidden="1" customHeight="1">
      <c r="A1440" s="640" t="str">
        <f>IF('[2]Memória de Cálculo'!A2000&gt;0,'[2]Memória de Cálculo'!A2000,"")</f>
        <v/>
      </c>
      <c r="B1440" s="641">
        <v>81850</v>
      </c>
      <c r="C1440" s="646" t="s">
        <v>1338</v>
      </c>
    </row>
    <row r="1441" spans="1:3" ht="15.6" hidden="1" customHeight="1">
      <c r="A1441" s="640" t="str">
        <f>IF('[2]Memória de Cálculo'!A2001&gt;0,'[2]Memória de Cálculo'!A2001,"")</f>
        <v/>
      </c>
      <c r="B1441" s="641">
        <v>81851</v>
      </c>
      <c r="C1441" s="646" t="s">
        <v>1339</v>
      </c>
    </row>
    <row r="1442" spans="1:3" ht="15.6" hidden="1" customHeight="1">
      <c r="A1442" s="640" t="str">
        <f>IF('[2]Memória de Cálculo'!A2002&gt;0,'[2]Memória de Cálculo'!A2002,"")</f>
        <v/>
      </c>
      <c r="B1442" s="641">
        <v>81852</v>
      </c>
      <c r="C1442" s="646" t="s">
        <v>1340</v>
      </c>
    </row>
    <row r="1443" spans="1:3" ht="15.6" hidden="1" customHeight="1">
      <c r="A1443" s="640" t="str">
        <f>IF('[2]Memória de Cálculo'!A2003&gt;0,'[2]Memória de Cálculo'!A2003,"")</f>
        <v/>
      </c>
      <c r="B1443" s="641">
        <v>81854</v>
      </c>
      <c r="C1443" s="646" t="s">
        <v>1341</v>
      </c>
    </row>
    <row r="1444" spans="1:3" ht="15.6" hidden="1" customHeight="1">
      <c r="A1444" s="640" t="str">
        <f>IF('[2]Memória de Cálculo'!A2004&gt;0,'[2]Memória de Cálculo'!A2004,"")</f>
        <v/>
      </c>
      <c r="B1444" s="641">
        <v>81860</v>
      </c>
      <c r="C1444" s="646" t="s">
        <v>1342</v>
      </c>
    </row>
    <row r="1445" spans="1:3" ht="15.6" hidden="1" customHeight="1">
      <c r="A1445" s="640" t="str">
        <f>IF('[2]Memória de Cálculo'!A2005&gt;0,'[2]Memória de Cálculo'!A2005,"")</f>
        <v/>
      </c>
      <c r="B1445" s="641">
        <v>81861</v>
      </c>
      <c r="C1445" s="646" t="s">
        <v>1343</v>
      </c>
    </row>
    <row r="1446" spans="1:3" ht="15.6" hidden="1" customHeight="1">
      <c r="A1446" s="640" t="str">
        <f>IF('[2]Memória de Cálculo'!A2006&gt;0,'[2]Memória de Cálculo'!A2006,"")</f>
        <v/>
      </c>
      <c r="B1446" s="641">
        <v>81865</v>
      </c>
      <c r="C1446" s="646" t="s">
        <v>1344</v>
      </c>
    </row>
    <row r="1447" spans="1:3" ht="15.6" hidden="1" customHeight="1">
      <c r="A1447" s="640" t="str">
        <f>IF('[2]Memória de Cálculo'!A2007&gt;0,'[2]Memória de Cálculo'!A2007,"")</f>
        <v/>
      </c>
      <c r="B1447" s="641">
        <v>81866</v>
      </c>
      <c r="C1447" s="646" t="s">
        <v>1345</v>
      </c>
    </row>
    <row r="1448" spans="1:3" ht="15.6" hidden="1" customHeight="1">
      <c r="A1448" s="640" t="str">
        <f>IF('[2]Memória de Cálculo'!A2008&gt;0,'[2]Memória de Cálculo'!A2008,"")</f>
        <v/>
      </c>
      <c r="B1448" s="641">
        <v>81867</v>
      </c>
      <c r="C1448" s="646" t="s">
        <v>1346</v>
      </c>
    </row>
    <row r="1449" spans="1:3" ht="15.6" hidden="1" customHeight="1">
      <c r="A1449" s="640" t="str">
        <f>IF('[2]Memória de Cálculo'!A2009&gt;0,'[2]Memória de Cálculo'!A2009,"")</f>
        <v/>
      </c>
      <c r="B1449" s="641">
        <v>81868</v>
      </c>
      <c r="C1449" s="646" t="s">
        <v>1347</v>
      </c>
    </row>
    <row r="1450" spans="1:3" ht="15.6" hidden="1" customHeight="1">
      <c r="A1450" s="640" t="str">
        <f>IF('[2]Memória de Cálculo'!A2010&gt;0,'[2]Memória de Cálculo'!A2010,"")</f>
        <v/>
      </c>
      <c r="B1450" s="641">
        <v>81869</v>
      </c>
      <c r="C1450" s="646" t="s">
        <v>1348</v>
      </c>
    </row>
    <row r="1451" spans="1:3" ht="15.6" hidden="1" customHeight="1">
      <c r="A1451" s="640" t="str">
        <f>IF('[2]Memória de Cálculo'!A2011&gt;0,'[2]Memória de Cálculo'!A2011,"")</f>
        <v/>
      </c>
      <c r="B1451" s="641">
        <v>81874</v>
      </c>
      <c r="C1451" s="646" t="s">
        <v>1349</v>
      </c>
    </row>
    <row r="1452" spans="1:3" ht="15.6" hidden="1" customHeight="1">
      <c r="A1452" s="640" t="str">
        <f>IF('[2]Memória de Cálculo'!A2012&gt;0,'[2]Memória de Cálculo'!A2012,"")</f>
        <v/>
      </c>
      <c r="B1452" s="641">
        <v>81880</v>
      </c>
      <c r="C1452" s="646" t="s">
        <v>2302</v>
      </c>
    </row>
    <row r="1453" spans="1:3" ht="15.6" hidden="1" customHeight="1">
      <c r="A1453" s="640" t="str">
        <f>IF('[2]Memória de Cálculo'!A2013&gt;0,'[2]Memória de Cálculo'!A2013,"")</f>
        <v/>
      </c>
      <c r="B1453" s="641">
        <v>81881</v>
      </c>
      <c r="C1453" s="646" t="s">
        <v>2303</v>
      </c>
    </row>
    <row r="1454" spans="1:3" ht="15.6" hidden="1" customHeight="1">
      <c r="A1454" s="640" t="str">
        <f>IF('[2]Memória de Cálculo'!A2014&gt;0,'[2]Memória de Cálculo'!A2014,"")</f>
        <v/>
      </c>
      <c r="B1454" s="641">
        <v>81882</v>
      </c>
      <c r="C1454" s="646" t="s">
        <v>2304</v>
      </c>
    </row>
    <row r="1455" spans="1:3" ht="15.6" hidden="1" customHeight="1">
      <c r="A1455" s="640" t="str">
        <f>IF('[2]Memória de Cálculo'!A2015&gt;0,'[2]Memória de Cálculo'!A2015,"")</f>
        <v/>
      </c>
      <c r="B1455" s="641">
        <v>81883</v>
      </c>
      <c r="C1455" s="646" t="s">
        <v>2305</v>
      </c>
    </row>
    <row r="1456" spans="1:3" ht="15.6" hidden="1" customHeight="1">
      <c r="A1456" s="640" t="str">
        <f>IF('[2]Memória de Cálculo'!A2016&gt;0,'[2]Memória de Cálculo'!A2016,"")</f>
        <v/>
      </c>
      <c r="B1456" s="641">
        <v>81885</v>
      </c>
      <c r="C1456" s="646" t="s">
        <v>2306</v>
      </c>
    </row>
    <row r="1457" spans="1:3" ht="15.6" hidden="1" customHeight="1">
      <c r="A1457" s="640" t="str">
        <f>IF('[2]Memória de Cálculo'!A2017&gt;0,'[2]Memória de Cálculo'!A2017,"")</f>
        <v/>
      </c>
      <c r="B1457" s="641">
        <v>81888</v>
      </c>
      <c r="C1457" s="646" t="s">
        <v>1355</v>
      </c>
    </row>
    <row r="1458" spans="1:3" ht="15.6" hidden="1" customHeight="1">
      <c r="A1458" s="640" t="str">
        <f>IF('[2]Memória de Cálculo'!A2018&gt;0,'[2]Memória de Cálculo'!A2018,"")</f>
        <v/>
      </c>
      <c r="B1458" s="641">
        <v>81889</v>
      </c>
      <c r="C1458" s="646" t="s">
        <v>1356</v>
      </c>
    </row>
    <row r="1459" spans="1:3" ht="15.6" hidden="1" customHeight="1">
      <c r="A1459" s="640" t="str">
        <f>IF('[2]Memória de Cálculo'!A2019&gt;0,'[2]Memória de Cálculo'!A2019,"")</f>
        <v/>
      </c>
      <c r="B1459" s="641">
        <v>81890</v>
      </c>
      <c r="C1459" s="646" t="s">
        <v>1357</v>
      </c>
    </row>
    <row r="1460" spans="1:3" ht="15.6" hidden="1" customHeight="1">
      <c r="A1460" s="640" t="str">
        <f>IF('[2]Memória de Cálculo'!A2020&gt;0,'[2]Memória de Cálculo'!A2020,"")</f>
        <v/>
      </c>
      <c r="B1460" s="641">
        <v>81891</v>
      </c>
      <c r="C1460" s="646" t="s">
        <v>1358</v>
      </c>
    </row>
    <row r="1461" spans="1:3" ht="15.6" hidden="1" customHeight="1">
      <c r="A1461" s="640" t="str">
        <f>IF('[2]Memória de Cálculo'!A2021&gt;0,'[2]Memória de Cálculo'!A2021,"")</f>
        <v/>
      </c>
      <c r="B1461" s="641">
        <v>81892</v>
      </c>
      <c r="C1461" s="646" t="s">
        <v>1359</v>
      </c>
    </row>
    <row r="1462" spans="1:3" ht="15.6" hidden="1" customHeight="1">
      <c r="A1462" s="640" t="str">
        <f>IF('[2]Memória de Cálculo'!A2022&gt;0,'[2]Memória de Cálculo'!A2022,"")</f>
        <v/>
      </c>
      <c r="B1462" s="641">
        <v>81894</v>
      </c>
      <c r="C1462" s="646" t="s">
        <v>1360</v>
      </c>
    </row>
    <row r="1463" spans="1:3" ht="15.6" hidden="1" customHeight="1">
      <c r="A1463" s="649"/>
      <c r="B1463" s="650">
        <v>81920</v>
      </c>
      <c r="C1463" s="651" t="s">
        <v>1182</v>
      </c>
    </row>
    <row r="1464" spans="1:3" ht="15.6" hidden="1" customHeight="1">
      <c r="A1464" s="640" t="str">
        <f>IF('[2]Memória de Cálculo'!A2024&gt;0,'[2]Memória de Cálculo'!A2024,"")</f>
        <v/>
      </c>
      <c r="B1464" s="641">
        <v>81921</v>
      </c>
      <c r="C1464" s="646" t="s">
        <v>2307</v>
      </c>
    </row>
    <row r="1465" spans="1:3" ht="15.6" hidden="1" customHeight="1">
      <c r="A1465" s="640" t="str">
        <f>IF('[2]Memória de Cálculo'!A2025&gt;0,'[2]Memória de Cálculo'!A2025,"")</f>
        <v/>
      </c>
      <c r="B1465" s="641">
        <v>81922</v>
      </c>
      <c r="C1465" s="646" t="s">
        <v>2308</v>
      </c>
    </row>
    <row r="1466" spans="1:3" ht="15.6" hidden="1" customHeight="1">
      <c r="A1466" s="640" t="str">
        <f>IF('[2]Memória de Cálculo'!A2026&gt;0,'[2]Memória de Cálculo'!A2026,"")</f>
        <v/>
      </c>
      <c r="B1466" s="641">
        <v>81923</v>
      </c>
      <c r="C1466" s="646" t="s">
        <v>2309</v>
      </c>
    </row>
    <row r="1467" spans="1:3" ht="15.6" hidden="1" customHeight="1">
      <c r="A1467" s="640" t="str">
        <f>IF('[2]Memória de Cálculo'!A2027&gt;0,'[2]Memória de Cálculo'!A2027,"")</f>
        <v/>
      </c>
      <c r="B1467" s="641">
        <v>81924</v>
      </c>
      <c r="C1467" s="646" t="s">
        <v>2310</v>
      </c>
    </row>
    <row r="1468" spans="1:3" ht="15.6" hidden="1" customHeight="1">
      <c r="A1468" s="640" t="str">
        <f>IF('[2]Memória de Cálculo'!A2028&gt;0,'[2]Memória de Cálculo'!A2028,"")</f>
        <v/>
      </c>
      <c r="B1468" s="641">
        <v>81927</v>
      </c>
      <c r="C1468" s="646" t="s">
        <v>2311</v>
      </c>
    </row>
    <row r="1469" spans="1:3" ht="15.6" hidden="1" customHeight="1">
      <c r="A1469" s="640" t="str">
        <f>IF('[2]Memória de Cálculo'!A2029&gt;0,'[2]Memória de Cálculo'!A2029,"")</f>
        <v/>
      </c>
      <c r="B1469" s="641">
        <v>81928</v>
      </c>
      <c r="C1469" s="646" t="s">
        <v>1366</v>
      </c>
    </row>
    <row r="1470" spans="1:3" ht="15.6" hidden="1" customHeight="1">
      <c r="A1470" s="640" t="str">
        <f>IF('[2]Memória de Cálculo'!A2030&gt;0,'[2]Memória de Cálculo'!A2030,"")</f>
        <v/>
      </c>
      <c r="B1470" s="641">
        <v>81935</v>
      </c>
      <c r="C1470" s="646" t="s">
        <v>2312</v>
      </c>
    </row>
    <row r="1471" spans="1:3" ht="15.6" hidden="1" customHeight="1">
      <c r="A1471" s="640" t="str">
        <f>IF('[2]Memória de Cálculo'!A2031&gt;0,'[2]Memória de Cálculo'!A2031,"")</f>
        <v/>
      </c>
      <c r="B1471" s="641">
        <v>81936</v>
      </c>
      <c r="C1471" s="646" t="s">
        <v>2313</v>
      </c>
    </row>
    <row r="1472" spans="1:3" ht="15.6" hidden="1" customHeight="1">
      <c r="A1472" s="640" t="str">
        <f>IF('[2]Memória de Cálculo'!A2032&gt;0,'[2]Memória de Cálculo'!A2032,"")</f>
        <v/>
      </c>
      <c r="B1472" s="641">
        <v>81937</v>
      </c>
      <c r="C1472" s="646" t="s">
        <v>2314</v>
      </c>
    </row>
    <row r="1473" spans="1:3" ht="15.6" hidden="1" customHeight="1">
      <c r="A1473" s="640" t="str">
        <f>IF('[2]Memória de Cálculo'!A2033&gt;0,'[2]Memória de Cálculo'!A2033,"")</f>
        <v/>
      </c>
      <c r="B1473" s="641">
        <v>81938</v>
      </c>
      <c r="C1473" s="646" t="s">
        <v>2315</v>
      </c>
    </row>
    <row r="1474" spans="1:3" ht="15.6" hidden="1" customHeight="1">
      <c r="A1474" s="640" t="str">
        <f>IF('[2]Memória de Cálculo'!A2034&gt;0,'[2]Memória de Cálculo'!A2034,"")</f>
        <v/>
      </c>
      <c r="B1474" s="641">
        <v>81946</v>
      </c>
      <c r="C1474" s="646" t="s">
        <v>1371</v>
      </c>
    </row>
    <row r="1475" spans="1:3" ht="15.6" hidden="1" customHeight="1">
      <c r="A1475" s="649"/>
      <c r="B1475" s="650">
        <v>81960</v>
      </c>
      <c r="C1475" s="651" t="s">
        <v>1372</v>
      </c>
    </row>
    <row r="1476" spans="1:3" ht="15.6" hidden="1" customHeight="1">
      <c r="A1476" s="640" t="str">
        <f>IF('[2]Memória de Cálculo'!A2036&gt;0,'[2]Memória de Cálculo'!A2036,"")</f>
        <v/>
      </c>
      <c r="B1476" s="641">
        <v>81961</v>
      </c>
      <c r="C1476" s="646" t="s">
        <v>2316</v>
      </c>
    </row>
    <row r="1477" spans="1:3" ht="15.6" hidden="1" customHeight="1">
      <c r="A1477" s="640" t="str">
        <f>IF('[2]Memória de Cálculo'!A2037&gt;0,'[2]Memória de Cálculo'!A2037,"")</f>
        <v/>
      </c>
      <c r="B1477" s="641">
        <v>81965</v>
      </c>
      <c r="C1477" s="646" t="s">
        <v>2317</v>
      </c>
    </row>
    <row r="1478" spans="1:3" ht="15.6" hidden="1" customHeight="1">
      <c r="A1478" s="640" t="str">
        <f>IF('[2]Memória de Cálculo'!A2038&gt;0,'[2]Memória de Cálculo'!A2038,"")</f>
        <v/>
      </c>
      <c r="B1478" s="641">
        <v>81970</v>
      </c>
      <c r="C1478" s="646" t="s">
        <v>2318</v>
      </c>
    </row>
    <row r="1479" spans="1:3" ht="15.6" hidden="1" customHeight="1">
      <c r="A1479" s="640" t="str">
        <f>IF('[2]Memória de Cálculo'!A2039&gt;0,'[2]Memória de Cálculo'!A2039,"")</f>
        <v/>
      </c>
      <c r="B1479" s="641">
        <v>81971</v>
      </c>
      <c r="C1479" s="646" t="s">
        <v>2319</v>
      </c>
    </row>
    <row r="1480" spans="1:3" ht="15.6" hidden="1" customHeight="1">
      <c r="A1480" s="640" t="str">
        <f>IF('[2]Memória de Cálculo'!A2040&gt;0,'[2]Memória de Cálculo'!A2040,"")</f>
        <v/>
      </c>
      <c r="B1480" s="641">
        <v>81972</v>
      </c>
      <c r="C1480" s="646" t="s">
        <v>2320</v>
      </c>
    </row>
    <row r="1481" spans="1:3" ht="15" hidden="1" customHeight="1">
      <c r="A1481" s="640" t="str">
        <f>IF('[2]Memória de Cálculo'!A2041&gt;0,'[2]Memória de Cálculo'!A2041,"")</f>
        <v/>
      </c>
      <c r="B1481" s="641">
        <v>81973</v>
      </c>
      <c r="C1481" s="646" t="s">
        <v>2321</v>
      </c>
    </row>
    <row r="1482" spans="1:3" ht="15.6" hidden="1" customHeight="1">
      <c r="A1482" s="640" t="str">
        <f>IF('[2]Memória de Cálculo'!A2042&gt;0,'[2]Memória de Cálculo'!A2042,"")</f>
        <v/>
      </c>
      <c r="B1482" s="641">
        <v>81974</v>
      </c>
      <c r="C1482" s="646" t="s">
        <v>2322</v>
      </c>
    </row>
    <row r="1483" spans="1:3" ht="15.6" hidden="1" customHeight="1">
      <c r="A1483" s="640" t="str">
        <f>IF('[2]Memória de Cálculo'!A2043&gt;0,'[2]Memória de Cálculo'!A2043,"")</f>
        <v/>
      </c>
      <c r="B1483" s="641">
        <v>81975</v>
      </c>
      <c r="C1483" s="646" t="s">
        <v>2323</v>
      </c>
    </row>
    <row r="1484" spans="1:3" ht="15.6" hidden="1" customHeight="1">
      <c r="A1484" s="640" t="str">
        <f>IF('[2]Memória de Cálculo'!A2044&gt;0,'[2]Memória de Cálculo'!A2044,"")</f>
        <v/>
      </c>
      <c r="B1484" s="641">
        <v>81981</v>
      </c>
      <c r="C1484" s="646" t="s">
        <v>1381</v>
      </c>
    </row>
    <row r="1485" spans="1:3" ht="15.6" hidden="1" customHeight="1">
      <c r="A1485" s="649"/>
      <c r="B1485" s="650">
        <v>82000</v>
      </c>
      <c r="C1485" s="651" t="s">
        <v>1382</v>
      </c>
    </row>
    <row r="1486" spans="1:3" ht="15.6" hidden="1" customHeight="1">
      <c r="A1486" s="640" t="str">
        <f>IF('[2]Memória de Cálculo'!A2046&gt;0,'[2]Memória de Cálculo'!A2046,"")</f>
        <v/>
      </c>
      <c r="B1486" s="641">
        <v>82001</v>
      </c>
      <c r="C1486" s="646" t="s">
        <v>2324</v>
      </c>
    </row>
    <row r="1487" spans="1:3" ht="15.6" hidden="1" customHeight="1">
      <c r="A1487" s="640" t="str">
        <f>IF('[2]Memória de Cálculo'!A2047&gt;0,'[2]Memória de Cálculo'!A2047,"")</f>
        <v/>
      </c>
      <c r="B1487" s="641">
        <v>82002</v>
      </c>
      <c r="C1487" s="646" t="s">
        <v>2325</v>
      </c>
    </row>
    <row r="1488" spans="1:3" ht="15.6" hidden="1" customHeight="1">
      <c r="A1488" s="640" t="str">
        <f>IF('[2]Memória de Cálculo'!A2048&gt;0,'[2]Memória de Cálculo'!A2048,"")</f>
        <v/>
      </c>
      <c r="B1488" s="641">
        <v>82003</v>
      </c>
      <c r="C1488" s="646" t="s">
        <v>2326</v>
      </c>
    </row>
    <row r="1489" spans="1:3" ht="15.6" hidden="1" customHeight="1">
      <c r="A1489" s="640" t="str">
        <f>IF('[2]Memória de Cálculo'!A2049&gt;0,'[2]Memória de Cálculo'!A2049,"")</f>
        <v/>
      </c>
      <c r="B1489" s="641">
        <v>82004</v>
      </c>
      <c r="C1489" s="646" t="s">
        <v>2327</v>
      </c>
    </row>
    <row r="1490" spans="1:3" ht="15.6">
      <c r="A1490" s="649"/>
      <c r="B1490" s="650">
        <v>82050</v>
      </c>
      <c r="C1490" s="651" t="s">
        <v>2328</v>
      </c>
    </row>
    <row r="1491" spans="1:3" ht="15.6" hidden="1" customHeight="1">
      <c r="A1491" s="640" t="str">
        <f>IF('[2]Memória de Cálculo'!A2051&gt;0,'[2]Memória de Cálculo'!A2051,"")</f>
        <v/>
      </c>
      <c r="B1491" s="641">
        <v>82051</v>
      </c>
      <c r="C1491" s="646" t="s">
        <v>1388</v>
      </c>
    </row>
    <row r="1492" spans="1:3" ht="15.6" hidden="1" customHeight="1">
      <c r="A1492" s="640" t="str">
        <f>IF('[2]Memória de Cálculo'!A2052&gt;0,'[2]Memória de Cálculo'!A2052,"")</f>
        <v/>
      </c>
      <c r="B1492" s="641">
        <v>82052</v>
      </c>
      <c r="C1492" s="646" t="s">
        <v>1389</v>
      </c>
    </row>
    <row r="1493" spans="1:3" ht="15.6" hidden="1" customHeight="1">
      <c r="A1493" s="640" t="str">
        <f>IF('[2]Memória de Cálculo'!A2053&gt;0,'[2]Memória de Cálculo'!A2053,"")</f>
        <v/>
      </c>
      <c r="B1493" s="641">
        <v>82053</v>
      </c>
      <c r="C1493" s="646" t="s">
        <v>2329</v>
      </c>
    </row>
    <row r="1494" spans="1:3" ht="16.2" hidden="1" customHeight="1">
      <c r="A1494" s="640" t="str">
        <f>IF('[2]Memória de Cálculo'!A2054&gt;0,'[2]Memória de Cálculo'!A2054,"")</f>
        <v>6.16</v>
      </c>
      <c r="B1494" s="641">
        <v>82054</v>
      </c>
      <c r="C1494" s="646" t="s">
        <v>2330</v>
      </c>
    </row>
    <row r="1495" spans="1:3" ht="15.6" hidden="1" customHeight="1">
      <c r="A1495" s="640" t="str">
        <f>IF('[2]Memória de Cálculo'!A2061&gt;0,'[2]Memória de Cálculo'!A2061,"")</f>
        <v/>
      </c>
      <c r="B1495" s="641">
        <v>82071</v>
      </c>
      <c r="C1495" s="646" t="s">
        <v>1394</v>
      </c>
    </row>
    <row r="1496" spans="1:3" ht="15.6" hidden="1" customHeight="1">
      <c r="A1496" s="640" t="str">
        <f>IF('[2]Memória de Cálculo'!A2062&gt;0,'[2]Memória de Cálculo'!A2062,"")</f>
        <v/>
      </c>
      <c r="B1496" s="641">
        <v>82072</v>
      </c>
      <c r="C1496" s="646" t="s">
        <v>1395</v>
      </c>
    </row>
    <row r="1497" spans="1:3">
      <c r="A1497" s="648" t="s">
        <v>3830</v>
      </c>
      <c r="B1497" s="644">
        <v>82055</v>
      </c>
      <c r="C1497" s="645" t="s">
        <v>1392</v>
      </c>
    </row>
    <row r="1498" spans="1:3" ht="15.6" hidden="1" customHeight="1">
      <c r="A1498" s="652"/>
      <c r="B1498" s="638">
        <v>80000</v>
      </c>
      <c r="C1498" s="639" t="s">
        <v>1482</v>
      </c>
    </row>
    <row r="1499" spans="1:3" ht="15.6" hidden="1" customHeight="1">
      <c r="A1499" s="649"/>
      <c r="B1499" s="650">
        <v>82100</v>
      </c>
      <c r="C1499" s="651" t="s">
        <v>1396</v>
      </c>
    </row>
    <row r="1500" spans="1:3" ht="15.6" hidden="1" customHeight="1">
      <c r="A1500" s="640" t="str">
        <f>IF('[2]Memória de Cálculo'!A2064&gt;0,'[2]Memória de Cálculo'!A2064,"")</f>
        <v/>
      </c>
      <c r="B1500" s="641">
        <v>82101</v>
      </c>
      <c r="C1500" s="646" t="s">
        <v>2331</v>
      </c>
    </row>
    <row r="1501" spans="1:3" ht="15.6" hidden="1" customHeight="1">
      <c r="A1501" s="640" t="str">
        <f>IF('[2]Memória de Cálculo'!A2065&gt;0,'[2]Memória de Cálculo'!A2065,"")</f>
        <v/>
      </c>
      <c r="B1501" s="641">
        <v>82102</v>
      </c>
      <c r="C1501" s="646" t="s">
        <v>2332</v>
      </c>
    </row>
    <row r="1502" spans="1:3" ht="15.6" hidden="1" customHeight="1">
      <c r="A1502" s="640" t="str">
        <f>IF('[2]Memória de Cálculo'!A2066&gt;0,'[2]Memória de Cálculo'!A2066,"")</f>
        <v/>
      </c>
      <c r="B1502" s="641">
        <v>82103</v>
      </c>
      <c r="C1502" s="646" t="s">
        <v>2333</v>
      </c>
    </row>
    <row r="1503" spans="1:3" ht="15.6" hidden="1" customHeight="1">
      <c r="A1503" s="649"/>
      <c r="B1503" s="650">
        <v>82150</v>
      </c>
      <c r="C1503" s="651" t="s">
        <v>1400</v>
      </c>
    </row>
    <row r="1504" spans="1:3" ht="15.6" hidden="1" customHeight="1">
      <c r="A1504" s="640" t="str">
        <f>IF('[2]Memória de Cálculo'!A2068&gt;0,'[2]Memória de Cálculo'!A2068,"")</f>
        <v/>
      </c>
      <c r="B1504" s="641">
        <v>82151</v>
      </c>
      <c r="C1504" s="646" t="s">
        <v>1401</v>
      </c>
    </row>
    <row r="1505" spans="1:3" ht="15.6" hidden="1" customHeight="1">
      <c r="A1505" s="640" t="str">
        <f>IF('[2]Memória de Cálculo'!A2069&gt;0,'[2]Memória de Cálculo'!A2069,"")</f>
        <v/>
      </c>
      <c r="B1505" s="641">
        <v>82153</v>
      </c>
      <c r="C1505" s="646" t="s">
        <v>1402</v>
      </c>
    </row>
    <row r="1506" spans="1:3" ht="15.6" hidden="1" customHeight="1">
      <c r="A1506" s="640" t="str">
        <f>IF('[2]Memória de Cálculo'!A2070&gt;0,'[2]Memória de Cálculo'!A2070,"")</f>
        <v/>
      </c>
      <c r="B1506" s="641">
        <v>82157</v>
      </c>
      <c r="C1506" s="646" t="s">
        <v>1403</v>
      </c>
    </row>
    <row r="1507" spans="1:3" ht="15.6" hidden="1" customHeight="1">
      <c r="A1507" s="640" t="str">
        <f>IF('[2]Memória de Cálculo'!A2071&gt;0,'[2]Memória de Cálculo'!A2071,"")</f>
        <v/>
      </c>
      <c r="B1507" s="641">
        <v>82158</v>
      </c>
      <c r="C1507" s="646" t="s">
        <v>1404</v>
      </c>
    </row>
    <row r="1508" spans="1:3" ht="15.6" hidden="1" customHeight="1">
      <c r="A1508" s="649"/>
      <c r="B1508" s="650">
        <v>82200</v>
      </c>
      <c r="C1508" s="651" t="s">
        <v>1215</v>
      </c>
    </row>
    <row r="1509" spans="1:3" ht="15.6" hidden="1" customHeight="1">
      <c r="A1509" s="640" t="str">
        <f>IF('[2]Memória de Cálculo'!A2073&gt;0,'[2]Memória de Cálculo'!A2073,"")</f>
        <v/>
      </c>
      <c r="B1509" s="641">
        <v>82201</v>
      </c>
      <c r="C1509" s="646" t="s">
        <v>1405</v>
      </c>
    </row>
    <row r="1510" spans="1:3" ht="15.6" hidden="1" customHeight="1">
      <c r="A1510" s="640" t="str">
        <f>IF('[2]Memória de Cálculo'!A2074&gt;0,'[2]Memória de Cálculo'!A2074,"")</f>
        <v/>
      </c>
      <c r="B1510" s="641">
        <v>82220</v>
      </c>
      <c r="C1510" s="646" t="s">
        <v>2334</v>
      </c>
    </row>
    <row r="1511" spans="1:3" ht="15.6" hidden="1" customHeight="1">
      <c r="A1511" s="640" t="str">
        <f>IF('[2]Memória de Cálculo'!A2075&gt;0,'[2]Memória de Cálculo'!A2075,"")</f>
        <v/>
      </c>
      <c r="B1511" s="641">
        <v>82230</v>
      </c>
      <c r="C1511" s="646" t="s">
        <v>2335</v>
      </c>
    </row>
    <row r="1512" spans="1:3" ht="15.6" hidden="1" customHeight="1">
      <c r="A1512" s="640" t="str">
        <f>IF('[2]Memória de Cálculo'!A2076&gt;0,'[2]Memória de Cálculo'!A2076,"")</f>
        <v/>
      </c>
      <c r="B1512" s="641">
        <v>82231</v>
      </c>
      <c r="C1512" s="646" t="s">
        <v>2336</v>
      </c>
    </row>
    <row r="1513" spans="1:3" ht="15.6" hidden="1" customHeight="1">
      <c r="A1513" s="640" t="str">
        <f>IF('[2]Memória de Cálculo'!A2077&gt;0,'[2]Memória de Cálculo'!A2077,"")</f>
        <v/>
      </c>
      <c r="B1513" s="641">
        <v>82232</v>
      </c>
      <c r="C1513" s="646" t="s">
        <v>2337</v>
      </c>
    </row>
    <row r="1514" spans="1:3" ht="15.6" hidden="1" customHeight="1">
      <c r="A1514" s="640" t="str">
        <f>IF('[2]Memória de Cálculo'!A2078&gt;0,'[2]Memória de Cálculo'!A2078,"")</f>
        <v/>
      </c>
      <c r="B1514" s="641">
        <v>82233</v>
      </c>
      <c r="C1514" s="646" t="s">
        <v>2338</v>
      </c>
    </row>
    <row r="1515" spans="1:3" ht="15" hidden="1" customHeight="1">
      <c r="A1515" s="640" t="str">
        <f>IF('[2]Memória de Cálculo'!A2079&gt;0,'[2]Memória de Cálculo'!A2079,"")</f>
        <v/>
      </c>
      <c r="B1515" s="641">
        <v>82234</v>
      </c>
      <c r="C1515" s="646" t="s">
        <v>2339</v>
      </c>
    </row>
    <row r="1516" spans="1:3" ht="15.6" hidden="1" customHeight="1">
      <c r="A1516" s="640" t="str">
        <f>IF('[2]Memória de Cálculo'!A2080&gt;0,'[2]Memória de Cálculo'!A2080,"")</f>
        <v/>
      </c>
      <c r="B1516" s="641">
        <v>82235</v>
      </c>
      <c r="C1516" s="646" t="s">
        <v>2340</v>
      </c>
    </row>
    <row r="1517" spans="1:3" ht="15.6" hidden="1" customHeight="1">
      <c r="A1517" s="649"/>
      <c r="B1517" s="650">
        <v>82300</v>
      </c>
      <c r="C1517" s="651" t="s">
        <v>1413</v>
      </c>
    </row>
    <row r="1518" spans="1:3" ht="15.6" hidden="1" customHeight="1">
      <c r="A1518" s="640" t="str">
        <f>IF('[2]Memória de Cálculo'!A2082&gt;0,'[2]Memória de Cálculo'!A2082,"")</f>
        <v/>
      </c>
      <c r="B1518" s="641">
        <v>82301</v>
      </c>
      <c r="C1518" s="646" t="s">
        <v>2341</v>
      </c>
    </row>
    <row r="1519" spans="1:3" ht="15.6" hidden="1" customHeight="1">
      <c r="A1519" s="640" t="str">
        <f>IF('[2]Memória de Cálculo'!A2083&gt;0,'[2]Memória de Cálculo'!A2083,"")</f>
        <v/>
      </c>
      <c r="B1519" s="641">
        <v>82302</v>
      </c>
      <c r="C1519" s="646" t="s">
        <v>2342</v>
      </c>
    </row>
    <row r="1520" spans="1:3" ht="15.6" hidden="1" customHeight="1">
      <c r="A1520" s="640" t="str">
        <f>IF('[2]Memória de Cálculo'!A2084&gt;0,'[2]Memória de Cálculo'!A2084,"")</f>
        <v/>
      </c>
      <c r="B1520" s="641">
        <v>82303</v>
      </c>
      <c r="C1520" s="646" t="s">
        <v>2343</v>
      </c>
    </row>
    <row r="1521" spans="1:3" ht="15.6" hidden="1" customHeight="1">
      <c r="A1521" s="640" t="str">
        <f>IF('[2]Memória de Cálculo'!A2085&gt;0,'[2]Memória de Cálculo'!A2085,"")</f>
        <v/>
      </c>
      <c r="B1521" s="641">
        <v>82304</v>
      </c>
      <c r="C1521" s="646" t="s">
        <v>2344</v>
      </c>
    </row>
    <row r="1522" spans="1:3" ht="15.6" hidden="1" customHeight="1">
      <c r="A1522" s="640" t="str">
        <f>IF('[2]Memória de Cálculo'!A2086&gt;0,'[2]Memória de Cálculo'!A2086,"")</f>
        <v/>
      </c>
      <c r="B1522" s="641">
        <v>82331</v>
      </c>
      <c r="C1522" s="646" t="s">
        <v>1418</v>
      </c>
    </row>
    <row r="1523" spans="1:3" ht="15.6" hidden="1" customHeight="1">
      <c r="A1523" s="640" t="str">
        <f>IF('[2]Memória de Cálculo'!A2087&gt;0,'[2]Memória de Cálculo'!A2087,"")</f>
        <v/>
      </c>
      <c r="B1523" s="641">
        <v>82332</v>
      </c>
      <c r="C1523" s="646" t="s">
        <v>1419</v>
      </c>
    </row>
    <row r="1524" spans="1:3" ht="15.6" hidden="1" customHeight="1">
      <c r="A1524" s="640" t="str">
        <f>IF('[2]Memória de Cálculo'!A2088&gt;0,'[2]Memória de Cálculo'!A2088,"")</f>
        <v/>
      </c>
      <c r="B1524" s="641">
        <v>82333</v>
      </c>
      <c r="C1524" s="646" t="s">
        <v>1420</v>
      </c>
    </row>
    <row r="1525" spans="1:3" ht="15.6" hidden="1" customHeight="1">
      <c r="A1525" s="640" t="str">
        <f>IF('[2]Memória de Cálculo'!A2089&gt;0,'[2]Memória de Cálculo'!A2089,"")</f>
        <v/>
      </c>
      <c r="B1525" s="641">
        <v>82334</v>
      </c>
      <c r="C1525" s="646" t="s">
        <v>1421</v>
      </c>
    </row>
    <row r="1526" spans="1:3" ht="26.4" hidden="1" customHeight="1">
      <c r="A1526" s="640" t="str">
        <f>IF('[2]Memória de Cálculo'!A2090&gt;0,'[2]Memória de Cálculo'!A2090,"")</f>
        <v/>
      </c>
      <c r="B1526" s="641">
        <v>82341</v>
      </c>
      <c r="C1526" s="646" t="s">
        <v>1422</v>
      </c>
    </row>
    <row r="1527" spans="1:3" ht="26.4" hidden="1" customHeight="1">
      <c r="A1527" s="640" t="str">
        <f>IF('[2]Memória de Cálculo'!A2091&gt;0,'[2]Memória de Cálculo'!A2091,"")</f>
        <v/>
      </c>
      <c r="B1527" s="641">
        <v>82342</v>
      </c>
      <c r="C1527" s="646" t="s">
        <v>1423</v>
      </c>
    </row>
    <row r="1528" spans="1:3" ht="26.4" hidden="1" customHeight="1">
      <c r="A1528" s="640" t="str">
        <f>IF('[2]Memória de Cálculo'!A2092&gt;0,'[2]Memória de Cálculo'!A2092,"")</f>
        <v/>
      </c>
      <c r="B1528" s="641">
        <v>82343</v>
      </c>
      <c r="C1528" s="646" t="s">
        <v>1424</v>
      </c>
    </row>
    <row r="1529" spans="1:3" ht="15.6" hidden="1" customHeight="1">
      <c r="A1529" s="640" t="str">
        <f>IF('[2]Memória de Cálculo'!A2093&gt;0,'[2]Memória de Cálculo'!A2093,"")</f>
        <v/>
      </c>
      <c r="B1529" s="641">
        <v>82360</v>
      </c>
      <c r="C1529" s="646" t="s">
        <v>1425</v>
      </c>
    </row>
    <row r="1530" spans="1:3" ht="15.6" hidden="1" customHeight="1">
      <c r="A1530" s="640" t="str">
        <f>IF('[2]Memória de Cálculo'!A2094&gt;0,'[2]Memória de Cálculo'!A2094,"")</f>
        <v/>
      </c>
      <c r="B1530" s="641">
        <v>82365</v>
      </c>
      <c r="C1530" s="646" t="s">
        <v>1426</v>
      </c>
    </row>
    <row r="1531" spans="1:3" ht="15.6" hidden="1" customHeight="1">
      <c r="A1531" s="640" t="str">
        <f>IF('[2]Memória de Cálculo'!A2095&gt;0,'[2]Memória de Cálculo'!A2095,"")</f>
        <v/>
      </c>
      <c r="B1531" s="641">
        <v>82373</v>
      </c>
      <c r="C1531" s="646" t="s">
        <v>2345</v>
      </c>
    </row>
    <row r="1532" spans="1:3" ht="15.6" hidden="1" customHeight="1">
      <c r="A1532" s="640" t="str">
        <f>IF('[2]Memória de Cálculo'!A2096&gt;0,'[2]Memória de Cálculo'!A2096,"")</f>
        <v/>
      </c>
      <c r="B1532" s="641">
        <v>82374</v>
      </c>
      <c r="C1532" s="646" t="s">
        <v>2346</v>
      </c>
    </row>
    <row r="1533" spans="1:3" ht="15.6" hidden="1" customHeight="1">
      <c r="A1533" s="640" t="str">
        <f>IF('[2]Memória de Cálculo'!A2097&gt;0,'[2]Memória de Cálculo'!A2097,"")</f>
        <v/>
      </c>
      <c r="B1533" s="641">
        <v>82375</v>
      </c>
      <c r="C1533" s="646" t="s">
        <v>2347</v>
      </c>
    </row>
    <row r="1534" spans="1:3" ht="15.6" hidden="1" customHeight="1">
      <c r="A1534" s="640" t="str">
        <f>IF('[2]Memória de Cálculo'!A2098&gt;0,'[2]Memória de Cálculo'!A2098,"")</f>
        <v/>
      </c>
      <c r="B1534" s="641">
        <v>82376</v>
      </c>
      <c r="C1534" s="646" t="s">
        <v>2348</v>
      </c>
    </row>
    <row r="1535" spans="1:3" ht="15.6" hidden="1" customHeight="1">
      <c r="A1535" s="640" t="str">
        <f>IF('[2]Memória de Cálculo'!A2099&gt;0,'[2]Memória de Cálculo'!A2099,"")</f>
        <v/>
      </c>
      <c r="B1535" s="641">
        <v>82377</v>
      </c>
      <c r="C1535" s="646" t="s">
        <v>2349</v>
      </c>
    </row>
    <row r="1536" spans="1:3" ht="15.6" hidden="1" customHeight="1">
      <c r="A1536" s="640" t="str">
        <f>IF('[2]Memória de Cálculo'!A2100&gt;0,'[2]Memória de Cálculo'!A2100,"")</f>
        <v/>
      </c>
      <c r="B1536" s="641">
        <v>82378</v>
      </c>
      <c r="C1536" s="646" t="s">
        <v>2350</v>
      </c>
    </row>
    <row r="1537" spans="1:3" ht="15.6" hidden="1" customHeight="1">
      <c r="A1537" s="640" t="str">
        <f>IF('[2]Memória de Cálculo'!A2101&gt;0,'[2]Memória de Cálculo'!A2101,"")</f>
        <v/>
      </c>
      <c r="B1537" s="641">
        <v>82379</v>
      </c>
      <c r="C1537" s="646" t="s">
        <v>2351</v>
      </c>
    </row>
    <row r="1538" spans="1:3" ht="15.6" hidden="1" customHeight="1">
      <c r="A1538" s="640" t="str">
        <f>IF('[2]Memória de Cálculo'!A2102&gt;0,'[2]Memória de Cálculo'!A2102,"")</f>
        <v/>
      </c>
      <c r="B1538" s="641">
        <v>82380</v>
      </c>
      <c r="C1538" s="646" t="s">
        <v>2352</v>
      </c>
    </row>
    <row r="1539" spans="1:3" ht="15.6" hidden="1" customHeight="1">
      <c r="A1539" s="640" t="str">
        <f>IF('[2]Memória de Cálculo'!A2103&gt;0,'[2]Memória de Cálculo'!A2103,"")</f>
        <v/>
      </c>
      <c r="B1539" s="641">
        <v>82381</v>
      </c>
      <c r="C1539" s="646" t="s">
        <v>2353</v>
      </c>
    </row>
    <row r="1540" spans="1:3" ht="15.6" hidden="1" customHeight="1">
      <c r="A1540" s="649"/>
      <c r="B1540" s="650">
        <v>82400</v>
      </c>
      <c r="C1540" s="651" t="s">
        <v>2354</v>
      </c>
    </row>
    <row r="1541" spans="1:3" ht="15.6" hidden="1" customHeight="1">
      <c r="A1541" s="640" t="e">
        <f>IF('[2]Memória de Cálculo'!#REF!&gt;0,'[2]Memória de Cálculo'!#REF!,"")</f>
        <v>#REF!</v>
      </c>
      <c r="B1541" s="641">
        <v>82401</v>
      </c>
      <c r="C1541" s="642" t="s">
        <v>2355</v>
      </c>
    </row>
    <row r="1542" spans="1:3" ht="15.6" hidden="1" customHeight="1">
      <c r="A1542" s="640" t="e">
        <f>IF('[2]Memória de Cálculo'!#REF!&gt;0,'[2]Memória de Cálculo'!#REF!,"")</f>
        <v>#REF!</v>
      </c>
      <c r="B1542" s="641">
        <v>82402</v>
      </c>
      <c r="C1542" s="642" t="s">
        <v>2356</v>
      </c>
    </row>
    <row r="1543" spans="1:3" ht="15.6" hidden="1" customHeight="1">
      <c r="A1543" s="640" t="e">
        <f>IF('[2]Memória de Cálculo'!#REF!&gt;0,'[2]Memória de Cálculo'!#REF!,"")</f>
        <v>#REF!</v>
      </c>
      <c r="B1543" s="641">
        <v>82403</v>
      </c>
      <c r="C1543" s="642" t="s">
        <v>1112</v>
      </c>
    </row>
    <row r="1544" spans="1:3" ht="15.6" hidden="1" customHeight="1">
      <c r="A1544" s="653"/>
      <c r="B1544" s="654">
        <v>85000</v>
      </c>
      <c r="C1544" s="655" t="s">
        <v>2357</v>
      </c>
    </row>
    <row r="1545" spans="1:3" ht="15.6" hidden="1" customHeight="1">
      <c r="A1545" s="640" t="str">
        <f>IF('[2]Memória de Cálculo'!A2105&gt;0,'[2]Memória de Cálculo'!A2105,"")</f>
        <v/>
      </c>
      <c r="B1545" s="641">
        <v>85001</v>
      </c>
      <c r="C1545" s="646" t="s">
        <v>1437</v>
      </c>
    </row>
    <row r="1546" spans="1:3" ht="15.6" hidden="1" customHeight="1">
      <c r="A1546" s="640" t="str">
        <f>IF('[2]Memória de Cálculo'!A2106&gt;0,'[2]Memória de Cálculo'!A2106,"")</f>
        <v/>
      </c>
      <c r="B1546" s="641">
        <v>85003</v>
      </c>
      <c r="C1546" s="646" t="s">
        <v>1438</v>
      </c>
    </row>
    <row r="1547" spans="1:3" ht="15.6" hidden="1" customHeight="1">
      <c r="A1547" s="640" t="str">
        <f>IF('[2]Memória de Cálculo'!A2107&gt;0,'[2]Memória de Cálculo'!A2107,"")</f>
        <v/>
      </c>
      <c r="B1547" s="641">
        <v>85005</v>
      </c>
      <c r="C1547" s="646" t="s">
        <v>1439</v>
      </c>
    </row>
    <row r="1548" spans="1:3" ht="15.6" hidden="1" customHeight="1">
      <c r="A1548" s="640" t="str">
        <f>IF('[2]Memória de Cálculo'!A2108&gt;0,'[2]Memória de Cálculo'!A2108,"")</f>
        <v/>
      </c>
      <c r="B1548" s="641">
        <v>85006</v>
      </c>
      <c r="C1548" s="646" t="s">
        <v>1440</v>
      </c>
    </row>
    <row r="1549" spans="1:3" ht="26.4" hidden="1" customHeight="1">
      <c r="A1549" s="640" t="str">
        <f>IF('[2]Memória de Cálculo'!A2109&gt;0,'[2]Memória de Cálculo'!A2109,"")</f>
        <v/>
      </c>
      <c r="B1549" s="641">
        <v>85007</v>
      </c>
      <c r="C1549" s="647" t="s">
        <v>1441</v>
      </c>
    </row>
    <row r="1550" spans="1:3" ht="26.4" hidden="1" customHeight="1">
      <c r="A1550" s="640" t="str">
        <f>IF('[2]Memória de Cálculo'!A2110&gt;0,'[2]Memória de Cálculo'!A2110,"")</f>
        <v/>
      </c>
      <c r="B1550" s="641">
        <v>85011</v>
      </c>
      <c r="C1550" s="646" t="s">
        <v>1442</v>
      </c>
    </row>
    <row r="1551" spans="1:3" ht="15.6" hidden="1" customHeight="1">
      <c r="A1551" s="640" t="str">
        <f>IF('[2]Memória de Cálculo'!A2111&gt;0,'[2]Memória de Cálculo'!A2111,"")</f>
        <v/>
      </c>
      <c r="B1551" s="641">
        <v>85015</v>
      </c>
      <c r="C1551" s="646" t="s">
        <v>1443</v>
      </c>
    </row>
    <row r="1552" spans="1:3" ht="15.6" hidden="1" customHeight="1">
      <c r="A1552" s="640" t="str">
        <f>IF('[2]Memória de Cálculo'!A2112&gt;0,'[2]Memória de Cálculo'!A2112,"")</f>
        <v/>
      </c>
      <c r="B1552" s="641">
        <v>85017</v>
      </c>
      <c r="C1552" s="646" t="s">
        <v>2358</v>
      </c>
    </row>
    <row r="1553" spans="1:3" ht="15.6" hidden="1" customHeight="1">
      <c r="A1553" s="640" t="str">
        <f>IF('[2]Memória de Cálculo'!A2113&gt;0,'[2]Memória de Cálculo'!A2113,"")</f>
        <v/>
      </c>
      <c r="B1553" s="641">
        <v>85019</v>
      </c>
      <c r="C1553" s="646" t="s">
        <v>1445</v>
      </c>
    </row>
    <row r="1554" spans="1:3" ht="15.6" hidden="1" customHeight="1">
      <c r="A1554" s="640" t="str">
        <f>IF('[2]Memória de Cálculo'!A2114&gt;0,'[2]Memória de Cálculo'!A2114,"")</f>
        <v/>
      </c>
      <c r="B1554" s="641">
        <v>85023</v>
      </c>
      <c r="C1554" s="646" t="s">
        <v>1446</v>
      </c>
    </row>
    <row r="1555" spans="1:3" ht="15.6" hidden="1" customHeight="1">
      <c r="A1555" s="640" t="str">
        <f>IF('[2]Memória de Cálculo'!A2115&gt;0,'[2]Memória de Cálculo'!A2115,"")</f>
        <v/>
      </c>
      <c r="B1555" s="641">
        <v>85025</v>
      </c>
      <c r="C1555" s="646" t="s">
        <v>1447</v>
      </c>
    </row>
    <row r="1556" spans="1:3" ht="15.6" hidden="1" customHeight="1">
      <c r="A1556" s="640" t="str">
        <f>IF('[2]Memória de Cálculo'!A2116&gt;0,'[2]Memória de Cálculo'!A2116,"")</f>
        <v/>
      </c>
      <c r="B1556" s="641">
        <v>85027</v>
      </c>
      <c r="C1556" s="646" t="s">
        <v>1448</v>
      </c>
    </row>
    <row r="1557" spans="1:3" ht="15.6" hidden="1" customHeight="1">
      <c r="A1557" s="640" t="str">
        <f>IF('[2]Memória de Cálculo'!A2117&gt;0,'[2]Memória de Cálculo'!A2117,"")</f>
        <v/>
      </c>
      <c r="B1557" s="641">
        <v>85031</v>
      </c>
      <c r="C1557" s="646" t="s">
        <v>1449</v>
      </c>
    </row>
    <row r="1558" spans="1:3" ht="15.6" hidden="1" customHeight="1">
      <c r="A1558" s="640" t="str">
        <f>IF('[2]Memória de Cálculo'!A2118&gt;0,'[2]Memória de Cálculo'!A2118,"")</f>
        <v/>
      </c>
      <c r="B1558" s="641">
        <v>85035</v>
      </c>
      <c r="C1558" s="646" t="s">
        <v>1450</v>
      </c>
    </row>
    <row r="1559" spans="1:3" ht="15.6" hidden="1" customHeight="1">
      <c r="A1559" s="640" t="str">
        <f>IF('[2]Memória de Cálculo'!A2119&gt;0,'[2]Memória de Cálculo'!A2119,"")</f>
        <v/>
      </c>
      <c r="B1559" s="641">
        <v>85037</v>
      </c>
      <c r="C1559" s="646" t="s">
        <v>1451</v>
      </c>
    </row>
    <row r="1560" spans="1:3" ht="15.6" hidden="1" customHeight="1">
      <c r="A1560" s="640" t="str">
        <f>IF('[2]Memória de Cálculo'!A2120&gt;0,'[2]Memória de Cálculo'!A2120,"")</f>
        <v/>
      </c>
      <c r="B1560" s="641">
        <v>85039</v>
      </c>
      <c r="C1560" s="646" t="s">
        <v>1452</v>
      </c>
    </row>
    <row r="1561" spans="1:3" ht="15.6" hidden="1" customHeight="1">
      <c r="A1561" s="640" t="str">
        <f>IF('[2]Memória de Cálculo'!A2121&gt;0,'[2]Memória de Cálculo'!A2121,"")</f>
        <v/>
      </c>
      <c r="B1561" s="641">
        <v>85041</v>
      </c>
      <c r="C1561" s="646" t="s">
        <v>1453</v>
      </c>
    </row>
    <row r="1562" spans="1:3" ht="15.6" hidden="1" customHeight="1">
      <c r="A1562" s="640" t="str">
        <f>IF('[2]Memória de Cálculo'!A2122&gt;0,'[2]Memória de Cálculo'!A2122,"")</f>
        <v/>
      </c>
      <c r="B1562" s="641">
        <v>85042</v>
      </c>
      <c r="C1562" s="646" t="s">
        <v>2359</v>
      </c>
    </row>
    <row r="1563" spans="1:3" ht="15.6" hidden="1" customHeight="1">
      <c r="A1563" s="640" t="str">
        <f>IF('[2]Memória de Cálculo'!A2123&gt;0,'[2]Memória de Cálculo'!A2123,"")</f>
        <v/>
      </c>
      <c r="B1563" s="641">
        <v>85043</v>
      </c>
      <c r="C1563" s="646" t="s">
        <v>1455</v>
      </c>
    </row>
    <row r="1564" spans="1:3" ht="15.6" hidden="1" customHeight="1">
      <c r="A1564" s="640" t="str">
        <f>IF('[2]Memória de Cálculo'!A2124&gt;0,'[2]Memória de Cálculo'!A2124,"")</f>
        <v/>
      </c>
      <c r="B1564" s="641">
        <v>85045</v>
      </c>
      <c r="C1564" s="646" t="s">
        <v>1456</v>
      </c>
    </row>
    <row r="1565" spans="1:3" ht="15.6" hidden="1" customHeight="1">
      <c r="A1565" s="640" t="str">
        <f>IF('[2]Memória de Cálculo'!A2125&gt;0,'[2]Memória de Cálculo'!A2125,"")</f>
        <v/>
      </c>
      <c r="B1565" s="641">
        <v>85047</v>
      </c>
      <c r="C1565" s="646" t="s">
        <v>1457</v>
      </c>
    </row>
    <row r="1566" spans="1:3" ht="15.6" hidden="1" customHeight="1">
      <c r="A1566" s="640" t="str">
        <f>IF('[2]Memória de Cálculo'!A2126&gt;0,'[2]Memória de Cálculo'!A2126,"")</f>
        <v/>
      </c>
      <c r="B1566" s="641">
        <v>85049</v>
      </c>
      <c r="C1566" s="646" t="s">
        <v>1458</v>
      </c>
    </row>
    <row r="1567" spans="1:3" ht="15.6" hidden="1" customHeight="1">
      <c r="A1567" s="640" t="str">
        <f>IF('[2]Memória de Cálculo'!A2127&gt;0,'[2]Memória de Cálculo'!A2127,"")</f>
        <v/>
      </c>
      <c r="B1567" s="641">
        <v>85051</v>
      </c>
      <c r="C1567" s="646" t="s">
        <v>1459</v>
      </c>
    </row>
    <row r="1568" spans="1:3" ht="15.6" hidden="1" customHeight="1">
      <c r="A1568" s="640" t="str">
        <f>IF('[2]Memória de Cálculo'!A2128&gt;0,'[2]Memória de Cálculo'!A2128,"")</f>
        <v/>
      </c>
      <c r="B1568" s="641">
        <v>85053</v>
      </c>
      <c r="C1568" s="646" t="s">
        <v>1460</v>
      </c>
    </row>
    <row r="1569" spans="1:3" ht="15.6" hidden="1" customHeight="1">
      <c r="A1569" s="640" t="str">
        <f>IF('[2]Memória de Cálculo'!A2129&gt;0,'[2]Memória de Cálculo'!A2129,"")</f>
        <v/>
      </c>
      <c r="B1569" s="641">
        <v>85055</v>
      </c>
      <c r="C1569" s="646" t="s">
        <v>1461</v>
      </c>
    </row>
    <row r="1570" spans="1:3" ht="15.6" hidden="1" customHeight="1">
      <c r="A1570" s="640" t="str">
        <f>IF('[2]Memória de Cálculo'!A2130&gt;0,'[2]Memória de Cálculo'!A2130,"")</f>
        <v/>
      </c>
      <c r="B1570" s="641">
        <v>85056</v>
      </c>
      <c r="C1570" s="646" t="s">
        <v>1462</v>
      </c>
    </row>
    <row r="1571" spans="1:3" ht="15.6" hidden="1" customHeight="1">
      <c r="A1571" s="640" t="str">
        <f>IF('[2]Memória de Cálculo'!A2131&gt;0,'[2]Memória de Cálculo'!A2131,"")</f>
        <v/>
      </c>
      <c r="B1571" s="641">
        <v>85057</v>
      </c>
      <c r="C1571" s="646" t="s">
        <v>1463</v>
      </c>
    </row>
    <row r="1572" spans="1:3" ht="15.6" hidden="1" customHeight="1">
      <c r="A1572" s="640" t="str">
        <f>IF('[2]Memória de Cálculo'!A2132&gt;0,'[2]Memória de Cálculo'!A2132,"")</f>
        <v/>
      </c>
      <c r="B1572" s="641">
        <v>85058</v>
      </c>
      <c r="C1572" s="646" t="s">
        <v>1464</v>
      </c>
    </row>
    <row r="1573" spans="1:3" ht="15.6" hidden="1" customHeight="1">
      <c r="A1573" s="640" t="str">
        <f>IF('[2]Memória de Cálculo'!A2133&gt;0,'[2]Memória de Cálculo'!A2133,"")</f>
        <v/>
      </c>
      <c r="B1573" s="641">
        <v>85061</v>
      </c>
      <c r="C1573" s="646" t="s">
        <v>1465</v>
      </c>
    </row>
    <row r="1574" spans="1:3" ht="15.6" hidden="1" customHeight="1">
      <c r="A1574" s="640" t="str">
        <f>IF('[2]Memória de Cálculo'!A2134&gt;0,'[2]Memória de Cálculo'!A2134,"")</f>
        <v/>
      </c>
      <c r="B1574" s="641">
        <v>85062</v>
      </c>
      <c r="C1574" s="646" t="s">
        <v>1466</v>
      </c>
    </row>
    <row r="1575" spans="1:3" ht="15.6" hidden="1" customHeight="1">
      <c r="A1575" s="640" t="str">
        <f>IF('[2]Memória de Cálculo'!A2135&gt;0,'[2]Memória de Cálculo'!A2135,"")</f>
        <v/>
      </c>
      <c r="B1575" s="641">
        <v>85063</v>
      </c>
      <c r="C1575" s="646" t="s">
        <v>1467</v>
      </c>
    </row>
    <row r="1576" spans="1:3" ht="15.6" hidden="1" customHeight="1">
      <c r="A1576" s="640" t="str">
        <f>IF('[2]Memória de Cálculo'!A2136&gt;0,'[2]Memória de Cálculo'!A2136,"")</f>
        <v/>
      </c>
      <c r="B1576" s="641">
        <v>85065</v>
      </c>
      <c r="C1576" s="646" t="s">
        <v>1468</v>
      </c>
    </row>
    <row r="1577" spans="1:3" ht="15.6" hidden="1" customHeight="1">
      <c r="A1577" s="640" t="str">
        <f>IF('[2]Memória de Cálculo'!A2137&gt;0,'[2]Memória de Cálculo'!A2137,"")</f>
        <v/>
      </c>
      <c r="B1577" s="641">
        <v>85067</v>
      </c>
      <c r="C1577" s="646" t="s">
        <v>1469</v>
      </c>
    </row>
    <row r="1578" spans="1:3" ht="15.6" hidden="1" customHeight="1">
      <c r="A1578" s="640" t="str">
        <f>IF('[2]Memória de Cálculo'!A2138&gt;0,'[2]Memória de Cálculo'!A2138,"")</f>
        <v/>
      </c>
      <c r="B1578" s="641">
        <v>85069</v>
      </c>
      <c r="C1578" s="646" t="s">
        <v>1470</v>
      </c>
    </row>
    <row r="1579" spans="1:3" ht="15.6" hidden="1" customHeight="1">
      <c r="A1579" s="640" t="str">
        <f>IF('[2]Memória de Cálculo'!A2139&gt;0,'[2]Memória de Cálculo'!A2139,"")</f>
        <v/>
      </c>
      <c r="B1579" s="641">
        <v>85071</v>
      </c>
      <c r="C1579" s="646" t="s">
        <v>1471</v>
      </c>
    </row>
    <row r="1580" spans="1:3" ht="15.6" hidden="1" customHeight="1">
      <c r="A1580" s="640" t="str">
        <f>IF('[2]Memória de Cálculo'!A2140&gt;0,'[2]Memória de Cálculo'!A2140,"")</f>
        <v/>
      </c>
      <c r="B1580" s="641">
        <v>85073</v>
      </c>
      <c r="C1580" s="646" t="s">
        <v>1472</v>
      </c>
    </row>
    <row r="1581" spans="1:3" ht="15.6" hidden="1" customHeight="1">
      <c r="A1581" s="640" t="str">
        <f>IF('[2]Memória de Cálculo'!A2141&gt;0,'[2]Memória de Cálculo'!A2141,"")</f>
        <v/>
      </c>
      <c r="B1581" s="641">
        <v>85075</v>
      </c>
      <c r="C1581" s="646" t="s">
        <v>1473</v>
      </c>
    </row>
    <row r="1582" spans="1:3" ht="15.6" hidden="1" customHeight="1">
      <c r="A1582" s="640" t="str">
        <f>IF('[2]Memória de Cálculo'!A2142&gt;0,'[2]Memória de Cálculo'!A2142,"")</f>
        <v/>
      </c>
      <c r="B1582" s="641">
        <v>85076</v>
      </c>
      <c r="C1582" s="646" t="s">
        <v>1474</v>
      </c>
    </row>
    <row r="1583" spans="1:3" ht="15.6" hidden="1" customHeight="1">
      <c r="A1583" s="640" t="str">
        <f>IF('[2]Memória de Cálculo'!A2143&gt;0,'[2]Memória de Cálculo'!A2143,"")</f>
        <v/>
      </c>
      <c r="B1583" s="641">
        <v>85077</v>
      </c>
      <c r="C1583" s="646" t="s">
        <v>1475</v>
      </c>
    </row>
    <row r="1584" spans="1:3" ht="15.6" hidden="1" customHeight="1">
      <c r="A1584" s="640" t="str">
        <f>IF('[2]Memória de Cálculo'!A2144&gt;0,'[2]Memória de Cálculo'!A2144,"")</f>
        <v/>
      </c>
      <c r="B1584" s="641">
        <v>85078</v>
      </c>
      <c r="C1584" s="646" t="s">
        <v>1476</v>
      </c>
    </row>
    <row r="1585" spans="1:3" ht="15.6" hidden="1" customHeight="1">
      <c r="A1585" s="640" t="str">
        <f>IF('[2]Memória de Cálculo'!A2145&gt;0,'[2]Memória de Cálculo'!A2145,"")</f>
        <v/>
      </c>
      <c r="B1585" s="641">
        <v>85079</v>
      </c>
      <c r="C1585" s="646" t="s">
        <v>1477</v>
      </c>
    </row>
    <row r="1586" spans="1:3" ht="15.6" hidden="1" customHeight="1">
      <c r="A1586" s="640" t="str">
        <f>IF('[2]Memória de Cálculo'!A2146&gt;0,'[2]Memória de Cálculo'!A2146,"")</f>
        <v/>
      </c>
      <c r="B1586" s="641">
        <v>85080</v>
      </c>
      <c r="C1586" s="646" t="s">
        <v>1478</v>
      </c>
    </row>
    <row r="1587" spans="1:3" ht="15.6" hidden="1" customHeight="1">
      <c r="A1587" s="640" t="str">
        <f>IF('[2]Memória de Cálculo'!A2147&gt;0,'[2]Memória de Cálculo'!A2147,"")</f>
        <v/>
      </c>
      <c r="B1587" s="641">
        <v>85081</v>
      </c>
      <c r="C1587" s="646" t="s">
        <v>1479</v>
      </c>
    </row>
    <row r="1588" spans="1:3" ht="15.6" hidden="1" customHeight="1">
      <c r="A1588" s="640" t="str">
        <f>IF('[2]Memória de Cálculo'!A2148&gt;0,'[2]Memória de Cálculo'!A2148,"")</f>
        <v/>
      </c>
      <c r="B1588" s="641">
        <v>85082</v>
      </c>
      <c r="C1588" s="646" t="s">
        <v>1480</v>
      </c>
    </row>
    <row r="1589" spans="1:3" ht="15.6" hidden="1" customHeight="1">
      <c r="A1589" s="640" t="str">
        <f>IF('[2]Memória de Cálculo'!A2149&gt;0,'[2]Memória de Cálculo'!A2149,"")</f>
        <v/>
      </c>
      <c r="B1589" s="641">
        <v>85083</v>
      </c>
      <c r="C1589" s="646" t="s">
        <v>1481</v>
      </c>
    </row>
    <row r="1590" spans="1:3" ht="15.6">
      <c r="A1590" s="652"/>
      <c r="B1590" s="638">
        <v>86000</v>
      </c>
      <c r="C1590" s="639" t="s">
        <v>2895</v>
      </c>
    </row>
    <row r="1591" spans="1:3">
      <c r="A1591" s="648" t="s">
        <v>3831</v>
      </c>
      <c r="B1591" s="644" t="s">
        <v>3431</v>
      </c>
      <c r="C1591" s="645" t="s">
        <v>2896</v>
      </c>
    </row>
    <row r="1592" spans="1:3" ht="26.4">
      <c r="A1592" s="648" t="s">
        <v>3832</v>
      </c>
      <c r="B1592" s="644" t="s">
        <v>2898</v>
      </c>
      <c r="C1592" s="645" t="s">
        <v>2899</v>
      </c>
    </row>
    <row r="1593" spans="1:3">
      <c r="A1593" s="648" t="s">
        <v>3833</v>
      </c>
      <c r="B1593" s="644" t="s">
        <v>3432</v>
      </c>
      <c r="C1593" s="645" t="s">
        <v>3957</v>
      </c>
    </row>
    <row r="1594" spans="1:3">
      <c r="A1594" s="648" t="s">
        <v>3834</v>
      </c>
      <c r="B1594" s="644" t="s">
        <v>3437</v>
      </c>
      <c r="C1594" s="645" t="s">
        <v>2905</v>
      </c>
    </row>
    <row r="1595" spans="1:3">
      <c r="A1595" s="648" t="s">
        <v>3835</v>
      </c>
      <c r="B1595" s="644" t="s">
        <v>3450</v>
      </c>
      <c r="C1595" s="645" t="s">
        <v>2909</v>
      </c>
    </row>
    <row r="1596" spans="1:3">
      <c r="A1596" s="648" t="s">
        <v>3836</v>
      </c>
      <c r="B1596" s="644" t="s">
        <v>3451</v>
      </c>
      <c r="C1596" s="645" t="s">
        <v>3955</v>
      </c>
    </row>
    <row r="1597" spans="1:3">
      <c r="A1597" s="648" t="s">
        <v>3837</v>
      </c>
      <c r="B1597" s="644" t="s">
        <v>3912</v>
      </c>
      <c r="C1597" s="645" t="s">
        <v>2913</v>
      </c>
    </row>
    <row r="1598" spans="1:3">
      <c r="A1598" s="648" t="s">
        <v>3838</v>
      </c>
      <c r="B1598" s="644" t="s">
        <v>3913</v>
      </c>
      <c r="C1598" s="645" t="s">
        <v>3958</v>
      </c>
    </row>
    <row r="1599" spans="1:3">
      <c r="A1599" s="648" t="s">
        <v>3839</v>
      </c>
      <c r="B1599" s="644" t="s">
        <v>3914</v>
      </c>
      <c r="C1599" s="645" t="s">
        <v>3959</v>
      </c>
    </row>
    <row r="1600" spans="1:3" ht="79.2">
      <c r="A1600" s="648"/>
      <c r="B1600" s="644"/>
      <c r="C1600" s="645" t="s">
        <v>4038</v>
      </c>
    </row>
    <row r="1601" spans="1:3">
      <c r="A1601" s="656"/>
      <c r="B1601" s="656"/>
      <c r="C1601" s="656"/>
    </row>
    <row r="1602" spans="1:3" ht="15.6" hidden="1" customHeight="1">
      <c r="A1602" s="657"/>
      <c r="B1602" s="650">
        <v>91000</v>
      </c>
      <c r="C1602" s="651" t="s">
        <v>1483</v>
      </c>
    </row>
    <row r="1603" spans="1:3" ht="26.4" hidden="1" customHeight="1">
      <c r="A1603" s="640" t="str">
        <f>IF('[2]Memória de Cálculo'!A2181&gt;0,'[2]Memória de Cálculo'!A2181,"")</f>
        <v/>
      </c>
      <c r="B1603" s="641">
        <v>91007</v>
      </c>
      <c r="C1603" s="646" t="s">
        <v>1484</v>
      </c>
    </row>
    <row r="1604" spans="1:3" ht="26.4" hidden="1" customHeight="1">
      <c r="A1604" s="640" t="str">
        <f>IF('[2]Memória de Cálculo'!A2182&gt;0,'[2]Memória de Cálculo'!A2182,"")</f>
        <v/>
      </c>
      <c r="B1604" s="641">
        <v>91009</v>
      </c>
      <c r="C1604" s="646" t="s">
        <v>1485</v>
      </c>
    </row>
    <row r="1605" spans="1:3" ht="26.4" hidden="1" customHeight="1">
      <c r="A1605" s="640" t="str">
        <f>IF('[2]Memória de Cálculo'!A2183&gt;0,'[2]Memória de Cálculo'!A2183,"")</f>
        <v/>
      </c>
      <c r="B1605" s="641">
        <v>91010</v>
      </c>
      <c r="C1605" s="646" t="s">
        <v>1486</v>
      </c>
    </row>
    <row r="1606" spans="1:3" ht="39.6" hidden="1" customHeight="1">
      <c r="A1606" s="640" t="str">
        <f>IF('[2]Memória de Cálculo'!A2184&gt;0,'[2]Memória de Cálculo'!A2184,"")</f>
        <v/>
      </c>
      <c r="B1606" s="641">
        <v>91011</v>
      </c>
      <c r="C1606" s="646" t="s">
        <v>1487</v>
      </c>
    </row>
    <row r="1607" spans="1:3" ht="15.6" hidden="1" customHeight="1">
      <c r="A1607" s="640" t="str">
        <f>IF('[2]Memória de Cálculo'!A2185&gt;0,'[2]Memória de Cálculo'!A2185,"")</f>
        <v/>
      </c>
      <c r="B1607" s="641">
        <v>91012</v>
      </c>
      <c r="C1607" s="646" t="s">
        <v>1488</v>
      </c>
    </row>
    <row r="1608" spans="1:3" ht="15.6" hidden="1" customHeight="1">
      <c r="A1608" s="640" t="str">
        <f>IF('[2]Memória de Cálculo'!A2186&gt;0,'[2]Memória de Cálculo'!A2186,"")</f>
        <v/>
      </c>
      <c r="B1608" s="641">
        <v>91018</v>
      </c>
      <c r="C1608" s="646" t="s">
        <v>1489</v>
      </c>
    </row>
    <row r="1609" spans="1:3" ht="15.6" hidden="1" customHeight="1">
      <c r="A1609" s="640" t="str">
        <f>IF('[2]Memória de Cálculo'!A2187&gt;0,'[2]Memória de Cálculo'!A2187,"")</f>
        <v/>
      </c>
      <c r="B1609" s="641">
        <v>91020</v>
      </c>
      <c r="C1609" s="646" t="s">
        <v>1490</v>
      </c>
    </row>
    <row r="1610" spans="1:3" ht="26.4" hidden="1" customHeight="1">
      <c r="A1610" s="640" t="str">
        <f>IF('[2]Memória de Cálculo'!A2188&gt;0,'[2]Memória de Cálculo'!A2188,"")</f>
        <v/>
      </c>
      <c r="B1610" s="641">
        <v>91021</v>
      </c>
      <c r="C1610" s="646" t="s">
        <v>1491</v>
      </c>
    </row>
    <row r="1611" spans="1:3" ht="15.6" hidden="1" customHeight="1">
      <c r="A1611" s="640" t="str">
        <f>IF('[2]Memória de Cálculo'!A2189&gt;0,'[2]Memória de Cálculo'!A2189,"")</f>
        <v/>
      </c>
      <c r="B1611" s="641">
        <v>91022</v>
      </c>
      <c r="C1611" s="646" t="s">
        <v>1492</v>
      </c>
    </row>
    <row r="1612" spans="1:3" ht="26.4" hidden="1" customHeight="1">
      <c r="A1612" s="640" t="str">
        <f>IF('[2]Memória de Cálculo'!A2190&gt;0,'[2]Memória de Cálculo'!A2190,"")</f>
        <v/>
      </c>
      <c r="B1612" s="641">
        <v>91024</v>
      </c>
      <c r="C1612" s="646" t="s">
        <v>1493</v>
      </c>
    </row>
    <row r="1613" spans="1:3" ht="26.4" hidden="1" customHeight="1">
      <c r="A1613" s="640" t="str">
        <f>IF('[2]Memória de Cálculo'!A2191&gt;0,'[2]Memória de Cálculo'!A2191,"")</f>
        <v/>
      </c>
      <c r="B1613" s="641">
        <v>91025</v>
      </c>
      <c r="C1613" s="647" t="s">
        <v>1494</v>
      </c>
    </row>
    <row r="1614" spans="1:3" ht="15.6" hidden="1" customHeight="1">
      <c r="A1614" s="640" t="str">
        <f>IF('[2]Memória de Cálculo'!A2192&gt;0,'[2]Memória de Cálculo'!A2192,"")</f>
        <v/>
      </c>
      <c r="B1614" s="641">
        <v>91026</v>
      </c>
      <c r="C1614" s="647" t="s">
        <v>1495</v>
      </c>
    </row>
    <row r="1615" spans="1:3" ht="15.6" hidden="1" customHeight="1">
      <c r="A1615" s="640" t="str">
        <f>IF('[2]Memória de Cálculo'!A2193&gt;0,'[2]Memória de Cálculo'!A2193,"")</f>
        <v/>
      </c>
      <c r="B1615" s="641">
        <v>91029</v>
      </c>
      <c r="C1615" s="646" t="s">
        <v>1496</v>
      </c>
    </row>
    <row r="1616" spans="1:3" ht="15.6" hidden="1" customHeight="1">
      <c r="A1616" s="640" t="str">
        <f>IF('[2]Memória de Cálculo'!A2194&gt;0,'[2]Memória de Cálculo'!A2194,"")</f>
        <v/>
      </c>
      <c r="B1616" s="641">
        <v>91031</v>
      </c>
      <c r="C1616" s="647" t="s">
        <v>1497</v>
      </c>
    </row>
    <row r="1617" spans="1:3" ht="15.6" hidden="1" customHeight="1">
      <c r="A1617" s="640" t="str">
        <f>IF('[2]Memória de Cálculo'!A2195&gt;0,'[2]Memória de Cálculo'!A2195,"")</f>
        <v/>
      </c>
      <c r="B1617" s="641">
        <v>91034</v>
      </c>
      <c r="C1617" s="646" t="s">
        <v>1498</v>
      </c>
    </row>
    <row r="1618" spans="1:3" ht="15.6" hidden="1" customHeight="1">
      <c r="A1618" s="640" t="str">
        <f>IF('[2]Memória de Cálculo'!A2196&gt;0,'[2]Memória de Cálculo'!A2196,"")</f>
        <v/>
      </c>
      <c r="B1618" s="641">
        <v>91040</v>
      </c>
      <c r="C1618" s="646" t="s">
        <v>1499</v>
      </c>
    </row>
    <row r="1619" spans="1:3" ht="26.4" hidden="1" customHeight="1">
      <c r="A1619" s="640" t="str">
        <f>IF('[2]Memória de Cálculo'!A2197&gt;0,'[2]Memória de Cálculo'!A2197,"")</f>
        <v/>
      </c>
      <c r="B1619" s="641">
        <v>91041</v>
      </c>
      <c r="C1619" s="646" t="s">
        <v>1500</v>
      </c>
    </row>
    <row r="1620" spans="1:3" ht="39.6" hidden="1" customHeight="1">
      <c r="A1620" s="640" t="str">
        <f>IF('[2]Memória de Cálculo'!A2198&gt;0,'[2]Memória de Cálculo'!A2198,"")</f>
        <v/>
      </c>
      <c r="B1620" s="641">
        <v>91045</v>
      </c>
      <c r="C1620" s="646" t="s">
        <v>1501</v>
      </c>
    </row>
    <row r="1621" spans="1:3" ht="26.4" hidden="1" customHeight="1">
      <c r="A1621" s="640">
        <f>IF('[2]Memória de Cálculo'!A2199&gt;0,'[2]Memória de Cálculo'!A2199,"")</f>
        <v>7</v>
      </c>
      <c r="B1621" s="641">
        <v>91046</v>
      </c>
      <c r="C1621" s="646" t="s">
        <v>1502</v>
      </c>
    </row>
    <row r="1622" spans="1:3" ht="15.6" hidden="1" customHeight="1">
      <c r="A1622" s="658"/>
      <c r="B1622" s="659"/>
      <c r="C1622" s="660"/>
    </row>
    <row r="1623" spans="1:3" ht="15.6" hidden="1" customHeight="1">
      <c r="A1623" s="658"/>
      <c r="B1623" s="659"/>
      <c r="C1623" s="660"/>
    </row>
    <row r="1624" spans="1:3" ht="15.6">
      <c r="A1624" s="637">
        <v>7</v>
      </c>
      <c r="B1624" s="638">
        <v>100000</v>
      </c>
      <c r="C1624" s="639" t="s">
        <v>1503</v>
      </c>
    </row>
    <row r="1625" spans="1:3" ht="15.6" hidden="1" customHeight="1">
      <c r="A1625" s="640" t="str">
        <f>IF('[2]Memória de Cálculo'!A2201&gt;0,'[2]Memória de Cálculo'!A2201,"")</f>
        <v/>
      </c>
      <c r="B1625" s="641">
        <v>100101</v>
      </c>
      <c r="C1625" s="646" t="s">
        <v>1504</v>
      </c>
    </row>
    <row r="1626" spans="1:3" ht="15.6" hidden="1" customHeight="1">
      <c r="A1626" s="640" t="str">
        <f>IF('[2]Memória de Cálculo'!A2202&gt;0,'[2]Memória de Cálculo'!A2202,"")</f>
        <v/>
      </c>
      <c r="B1626" s="641">
        <v>100102</v>
      </c>
      <c r="C1626" s="646" t="s">
        <v>1505</v>
      </c>
    </row>
    <row r="1627" spans="1:3" ht="15.6" hidden="1" customHeight="1">
      <c r="A1627" s="640" t="str">
        <f>IF('[2]Memória de Cálculo'!A2203&gt;0,'[2]Memória de Cálculo'!A2203,"")</f>
        <v>7.1</v>
      </c>
      <c r="B1627" s="641">
        <v>100103</v>
      </c>
      <c r="C1627" s="646" t="s">
        <v>1506</v>
      </c>
    </row>
    <row r="1628" spans="1:3" ht="26.4">
      <c r="A1628" s="640" t="s">
        <v>2825</v>
      </c>
      <c r="B1628" s="641">
        <v>100155</v>
      </c>
      <c r="C1628" s="646" t="s">
        <v>1507</v>
      </c>
    </row>
    <row r="1629" spans="1:3" ht="77.400000000000006" customHeight="1">
      <c r="A1629" s="640"/>
      <c r="B1629" s="641"/>
      <c r="C1629" s="646" t="s">
        <v>4039</v>
      </c>
    </row>
    <row r="1630" spans="1:3">
      <c r="A1630" s="656"/>
      <c r="B1630" s="656"/>
      <c r="C1630" s="656"/>
    </row>
    <row r="1631" spans="1:3" ht="26.4">
      <c r="A1631" s="648" t="s">
        <v>2826</v>
      </c>
      <c r="B1631" s="644" t="s">
        <v>2625</v>
      </c>
      <c r="C1631" s="645" t="s">
        <v>2624</v>
      </c>
    </row>
    <row r="1632" spans="1:3" ht="26.4">
      <c r="A1632" s="648" t="s">
        <v>3637</v>
      </c>
      <c r="B1632" s="644" t="s">
        <v>2626</v>
      </c>
      <c r="C1632" s="645" t="s">
        <v>2627</v>
      </c>
    </row>
    <row r="1633" spans="1:3" ht="85.95" customHeight="1">
      <c r="A1633" s="648"/>
      <c r="B1633" s="644"/>
      <c r="C1633" s="645" t="s">
        <v>4040</v>
      </c>
    </row>
    <row r="1634" spans="1:3">
      <c r="A1634" s="656"/>
      <c r="B1634" s="656"/>
      <c r="C1634" s="656"/>
    </row>
    <row r="1635" spans="1:3">
      <c r="A1635" s="648" t="s">
        <v>3638</v>
      </c>
      <c r="B1635" s="644" t="s">
        <v>3127</v>
      </c>
      <c r="C1635" s="645" t="s">
        <v>3128</v>
      </c>
    </row>
    <row r="1636" spans="1:3" ht="26.4" hidden="1" customHeight="1">
      <c r="A1636" s="640" t="str">
        <f>IF('[2]Memória de Cálculo'!A2217&gt;0,'[2]Memória de Cálculo'!A2217,"")</f>
        <v/>
      </c>
      <c r="B1636" s="641">
        <v>100160</v>
      </c>
      <c r="C1636" s="646" t="s">
        <v>1508</v>
      </c>
    </row>
    <row r="1637" spans="1:3" ht="15.6" hidden="1" customHeight="1">
      <c r="A1637" s="640" t="str">
        <f>IF('[2]Memória de Cálculo'!A2218&gt;0,'[2]Memória de Cálculo'!A2218,"")</f>
        <v/>
      </c>
      <c r="B1637" s="641">
        <v>100201</v>
      </c>
      <c r="C1637" s="647" t="s">
        <v>1509</v>
      </c>
    </row>
    <row r="1638" spans="1:3" ht="15.6" hidden="1" customHeight="1">
      <c r="A1638" s="640" t="str">
        <f>IF('[2]Memória de Cálculo'!A2219&gt;0,'[2]Memória de Cálculo'!A2219,"")</f>
        <v/>
      </c>
      <c r="B1638" s="641">
        <v>100202</v>
      </c>
      <c r="C1638" s="646" t="s">
        <v>1510</v>
      </c>
    </row>
    <row r="1639" spans="1:3" ht="15.6" hidden="1" customHeight="1">
      <c r="A1639" s="640" t="str">
        <f>IF('[2]Memória de Cálculo'!A2220&gt;0,'[2]Memória de Cálculo'!A2220,"")</f>
        <v/>
      </c>
      <c r="B1639" s="641">
        <v>100203</v>
      </c>
      <c r="C1639" s="646" t="s">
        <v>1511</v>
      </c>
    </row>
    <row r="1640" spans="1:3" ht="15.6" hidden="1" customHeight="1">
      <c r="A1640" s="640" t="str">
        <f>IF('[2]Memória de Cálculo'!A2221&gt;0,'[2]Memória de Cálculo'!A2221,"")</f>
        <v/>
      </c>
      <c r="B1640" s="641">
        <v>100204</v>
      </c>
      <c r="C1640" s="646" t="s">
        <v>1512</v>
      </c>
    </row>
    <row r="1641" spans="1:3" ht="15.6" hidden="1" customHeight="1">
      <c r="A1641" s="640" t="str">
        <f>IF('[2]Memória de Cálculo'!A2222&gt;0,'[2]Memória de Cálculo'!A2222,"")</f>
        <v/>
      </c>
      <c r="B1641" s="641">
        <v>100205</v>
      </c>
      <c r="C1641" s="646" t="s">
        <v>1513</v>
      </c>
    </row>
    <row r="1642" spans="1:3" ht="15.6" hidden="1" customHeight="1">
      <c r="A1642" s="640" t="str">
        <f>IF('[2]Memória de Cálculo'!A2223&gt;0,'[2]Memória de Cálculo'!A2223,"")</f>
        <v/>
      </c>
      <c r="B1642" s="641">
        <v>100301</v>
      </c>
      <c r="C1642" s="646" t="s">
        <v>1514</v>
      </c>
    </row>
    <row r="1643" spans="1:3" ht="15.6" hidden="1" customHeight="1">
      <c r="A1643" s="640" t="str">
        <f>IF('[2]Memória de Cálculo'!A2224&gt;0,'[2]Memória de Cálculo'!A2224,"")</f>
        <v/>
      </c>
      <c r="B1643" s="641">
        <v>100302</v>
      </c>
      <c r="C1643" s="646" t="s">
        <v>1515</v>
      </c>
    </row>
    <row r="1644" spans="1:3" ht="15.6" hidden="1" customHeight="1">
      <c r="A1644" s="640" t="str">
        <f>IF('[2]Memória de Cálculo'!A2225&gt;0,'[2]Memória de Cálculo'!A2225,"")</f>
        <v/>
      </c>
      <c r="B1644" s="641">
        <v>100303</v>
      </c>
      <c r="C1644" s="646" t="s">
        <v>1516</v>
      </c>
    </row>
    <row r="1645" spans="1:3" ht="15.6" hidden="1" customHeight="1">
      <c r="A1645" s="640" t="str">
        <f>IF('[2]Memória de Cálculo'!A2226&gt;0,'[2]Memória de Cálculo'!A2226,"")</f>
        <v/>
      </c>
      <c r="B1645" s="641">
        <v>100320</v>
      </c>
      <c r="C1645" s="646" t="s">
        <v>1517</v>
      </c>
    </row>
    <row r="1646" spans="1:3" ht="15.6" hidden="1" customHeight="1">
      <c r="A1646" s="640" t="str">
        <f>IF('[2]Memória de Cálculo'!A2227&gt;0,'[2]Memória de Cálculo'!A2227,"")</f>
        <v/>
      </c>
      <c r="B1646" s="641">
        <v>100401</v>
      </c>
      <c r="C1646" s="646" t="s">
        <v>2360</v>
      </c>
    </row>
    <row r="1647" spans="1:3" ht="15.6" hidden="1" customHeight="1">
      <c r="A1647" s="640" t="str">
        <f>IF('[2]Memória de Cálculo'!A2228&gt;0,'[2]Memória de Cálculo'!A2228,"")</f>
        <v/>
      </c>
      <c r="B1647" s="641">
        <v>100402</v>
      </c>
      <c r="C1647" s="646" t="s">
        <v>2361</v>
      </c>
    </row>
    <row r="1648" spans="1:3" ht="15.6" hidden="1" customHeight="1">
      <c r="A1648" s="640" t="str">
        <f>IF('[2]Memória de Cálculo'!A2229&gt;0,'[2]Memória de Cálculo'!A2229,"")</f>
        <v/>
      </c>
      <c r="B1648" s="641">
        <v>100403</v>
      </c>
      <c r="C1648" s="646" t="s">
        <v>2362</v>
      </c>
    </row>
    <row r="1649" spans="1:3" ht="15.6" hidden="1" customHeight="1">
      <c r="A1649" s="640" t="str">
        <f>IF('[2]Memória de Cálculo'!A2230&gt;0,'[2]Memória de Cálculo'!A2230,"")</f>
        <v/>
      </c>
      <c r="B1649" s="641">
        <v>100404</v>
      </c>
      <c r="C1649" s="646" t="s">
        <v>2363</v>
      </c>
    </row>
    <row r="1650" spans="1:3" ht="15.6" hidden="1" customHeight="1">
      <c r="A1650" s="640" t="str">
        <f>IF('[2]Memória de Cálculo'!A2231&gt;0,'[2]Memória de Cálculo'!A2231,"")</f>
        <v/>
      </c>
      <c r="B1650" s="641">
        <v>100405</v>
      </c>
      <c r="C1650" s="646" t="s">
        <v>2364</v>
      </c>
    </row>
    <row r="1651" spans="1:3" ht="15.6" hidden="1" customHeight="1">
      <c r="A1651" s="640" t="str">
        <f>IF('[2]Memória de Cálculo'!A2232&gt;0,'[2]Memória de Cálculo'!A2232,"")</f>
        <v/>
      </c>
      <c r="B1651" s="641">
        <v>100406</v>
      </c>
      <c r="C1651" s="646" t="s">
        <v>2365</v>
      </c>
    </row>
    <row r="1652" spans="1:3" ht="15.6" hidden="1" customHeight="1">
      <c r="A1652" s="640" t="str">
        <f>IF('[2]Memória de Cálculo'!A2233&gt;0,'[2]Memória de Cálculo'!A2233,"")</f>
        <v/>
      </c>
      <c r="B1652" s="641">
        <v>100501</v>
      </c>
      <c r="C1652" s="646" t="s">
        <v>1524</v>
      </c>
    </row>
    <row r="1653" spans="1:3" ht="15.6" hidden="1" customHeight="1">
      <c r="A1653" s="640" t="str">
        <f>IF('[2]Memória de Cálculo'!A2234&gt;0,'[2]Memória de Cálculo'!A2234,"")</f>
        <v/>
      </c>
      <c r="B1653" s="641">
        <v>100502</v>
      </c>
      <c r="C1653" s="646" t="s">
        <v>1525</v>
      </c>
    </row>
    <row r="1654" spans="1:3" ht="26.4" hidden="1" customHeight="1">
      <c r="A1654" s="640" t="str">
        <f>IF('[2]Memória de Cálculo'!A2235&gt;0,'[2]Memória de Cálculo'!A2235,"")</f>
        <v/>
      </c>
      <c r="B1654" s="641">
        <v>100600</v>
      </c>
      <c r="C1654" s="646" t="s">
        <v>1526</v>
      </c>
    </row>
    <row r="1655" spans="1:3" ht="26.4" hidden="1" customHeight="1">
      <c r="A1655" s="640" t="str">
        <f>IF('[2]Memória de Cálculo'!A2236&gt;0,'[2]Memória de Cálculo'!A2236,"")</f>
        <v/>
      </c>
      <c r="B1655" s="641">
        <v>100601</v>
      </c>
      <c r="C1655" s="646" t="s">
        <v>1527</v>
      </c>
    </row>
    <row r="1656" spans="1:3" ht="15.6" hidden="1" customHeight="1">
      <c r="A1656" s="640" t="str">
        <f>IF('[2]Memória de Cálculo'!A2237&gt;0,'[2]Memória de Cálculo'!A2237,"")</f>
        <v/>
      </c>
      <c r="B1656" s="641">
        <v>100602</v>
      </c>
      <c r="C1656" s="646" t="s">
        <v>1528</v>
      </c>
    </row>
    <row r="1657" spans="1:3" ht="15.6" hidden="1" customHeight="1">
      <c r="A1657" s="640" t="str">
        <f>IF('[2]Memória de Cálculo'!A2238&gt;0,'[2]Memória de Cálculo'!A2238,"")</f>
        <v/>
      </c>
      <c r="B1657" s="641">
        <v>100603</v>
      </c>
      <c r="C1657" s="646" t="s">
        <v>1529</v>
      </c>
    </row>
    <row r="1658" spans="1:3" ht="15.6" hidden="1" customHeight="1">
      <c r="A1658" s="640" t="str">
        <f>IF('[2]Memória de Cálculo'!A2239&gt;0,'[2]Memória de Cálculo'!A2239,"")</f>
        <v/>
      </c>
      <c r="B1658" s="641">
        <v>100604</v>
      </c>
      <c r="C1658" s="646" t="s">
        <v>1530</v>
      </c>
    </row>
    <row r="1659" spans="1:3" ht="15.6" hidden="1" customHeight="1">
      <c r="A1659" s="640" t="str">
        <f>IF('[2]Memória de Cálculo'!A2240&gt;0,'[2]Memória de Cálculo'!A2240,"")</f>
        <v/>
      </c>
      <c r="B1659" s="641">
        <v>100607</v>
      </c>
      <c r="C1659" s="646" t="s">
        <v>1531</v>
      </c>
    </row>
    <row r="1660" spans="1:3" ht="15.6" hidden="1" customHeight="1">
      <c r="A1660" s="640" t="str">
        <f>IF('[2]Memória de Cálculo'!A2241&gt;0,'[2]Memória de Cálculo'!A2241,"")</f>
        <v>7.2</v>
      </c>
      <c r="B1660" s="641">
        <v>100608</v>
      </c>
      <c r="C1660" s="646" t="s">
        <v>1532</v>
      </c>
    </row>
    <row r="1661" spans="1:3" ht="184.8">
      <c r="A1661" s="641"/>
      <c r="B1661" s="661"/>
      <c r="C1661" s="646" t="s">
        <v>4041</v>
      </c>
    </row>
    <row r="1662" spans="1:3">
      <c r="A1662" s="656"/>
      <c r="B1662" s="656"/>
      <c r="C1662" s="656"/>
    </row>
    <row r="1663" spans="1:3" ht="15" hidden="1" customHeight="1">
      <c r="A1663" s="637"/>
      <c r="B1663" s="638">
        <v>110000</v>
      </c>
      <c r="C1663" s="639" t="s">
        <v>1533</v>
      </c>
    </row>
    <row r="1664" spans="1:3" ht="26.4" hidden="1" customHeight="1">
      <c r="A1664" s="640" t="str">
        <f>IF('[2]Memória de Cálculo'!A2262&gt;0,'[2]Memória de Cálculo'!A2262,"")</f>
        <v/>
      </c>
      <c r="B1664" s="641">
        <v>110105</v>
      </c>
      <c r="C1664" s="646" t="s">
        <v>1534</v>
      </c>
    </row>
    <row r="1665" spans="1:3" ht="26.4" hidden="1" customHeight="1">
      <c r="A1665" s="640" t="str">
        <f>IF('[2]Memória de Cálculo'!A2263&gt;0,'[2]Memória de Cálculo'!A2263,"")</f>
        <v/>
      </c>
      <c r="B1665" s="641">
        <v>110106</v>
      </c>
      <c r="C1665" s="646" t="s">
        <v>1535</v>
      </c>
    </row>
    <row r="1666" spans="1:3" ht="26.4" hidden="1" customHeight="1">
      <c r="A1666" s="640" t="str">
        <f>IF('[2]Memória de Cálculo'!A2264&gt;0,'[2]Memória de Cálculo'!A2264,"")</f>
        <v/>
      </c>
      <c r="B1666" s="641">
        <v>110107</v>
      </c>
      <c r="C1666" s="646" t="s">
        <v>1536</v>
      </c>
    </row>
    <row r="1667" spans="1:3" ht="15.6" hidden="1" customHeight="1">
      <c r="A1667" s="637"/>
      <c r="B1667" s="638">
        <v>120000</v>
      </c>
      <c r="C1667" s="639" t="s">
        <v>1537</v>
      </c>
    </row>
    <row r="1668" spans="1:3" ht="15.6" hidden="1" customHeight="1">
      <c r="A1668" s="640" t="str">
        <f>IF('[2]Memória de Cálculo'!A2266&gt;0,'[2]Memória de Cálculo'!A2266,"")</f>
        <v/>
      </c>
      <c r="B1668" s="641">
        <v>120101</v>
      </c>
      <c r="C1668" s="646" t="s">
        <v>1538</v>
      </c>
    </row>
    <row r="1669" spans="1:3" ht="15.6" hidden="1" customHeight="1">
      <c r="A1669" s="640" t="str">
        <f>IF('[2]Memória de Cálculo'!A2267&gt;0,'[2]Memória de Cálculo'!A2267,"")</f>
        <v/>
      </c>
      <c r="B1669" s="641">
        <v>120102</v>
      </c>
      <c r="C1669" s="646" t="s">
        <v>1539</v>
      </c>
    </row>
    <row r="1670" spans="1:3" ht="15.6" hidden="1" customHeight="1">
      <c r="A1670" s="640" t="str">
        <f>IF('[2]Memória de Cálculo'!A2268&gt;0,'[2]Memória de Cálculo'!A2268,"")</f>
        <v/>
      </c>
      <c r="B1670" s="641">
        <v>120104</v>
      </c>
      <c r="C1670" s="646" t="s">
        <v>1540</v>
      </c>
    </row>
    <row r="1671" spans="1:3" ht="15.6" hidden="1" customHeight="1">
      <c r="A1671" s="640" t="str">
        <f>IF('[2]Memória de Cálculo'!A2269&gt;0,'[2]Memória de Cálculo'!A2269,"")</f>
        <v/>
      </c>
      <c r="B1671" s="641">
        <v>120107</v>
      </c>
      <c r="C1671" s="646" t="s">
        <v>1541</v>
      </c>
    </row>
    <row r="1672" spans="1:3" ht="15.6" hidden="1" customHeight="1">
      <c r="A1672" s="640" t="str">
        <f>IF('[2]Memória de Cálculo'!A2270&gt;0,'[2]Memória de Cálculo'!A2270,"")</f>
        <v/>
      </c>
      <c r="B1672" s="641">
        <v>120205</v>
      </c>
      <c r="C1672" s="646" t="s">
        <v>1542</v>
      </c>
    </row>
    <row r="1673" spans="1:3" ht="15.6" hidden="1" customHeight="1">
      <c r="A1673" s="640" t="str">
        <f>IF('[2]Memória de Cálculo'!A2271&gt;0,'[2]Memória de Cálculo'!A2271,"")</f>
        <v/>
      </c>
      <c r="B1673" s="641">
        <v>120206</v>
      </c>
      <c r="C1673" s="646" t="s">
        <v>1543</v>
      </c>
    </row>
    <row r="1674" spans="1:3" ht="15.6" hidden="1" customHeight="1">
      <c r="A1674" s="640" t="str">
        <f>IF('[2]Memória de Cálculo'!A2272&gt;0,'[2]Memória de Cálculo'!A2272,"")</f>
        <v/>
      </c>
      <c r="B1674" s="641">
        <v>120207</v>
      </c>
      <c r="C1674" s="646" t="s">
        <v>1544</v>
      </c>
    </row>
    <row r="1675" spans="1:3" ht="15.6" hidden="1" customHeight="1">
      <c r="A1675" s="640" t="str">
        <f>IF('[2]Memória de Cálculo'!A2273&gt;0,'[2]Memória de Cálculo'!A2273,"")</f>
        <v/>
      </c>
      <c r="B1675" s="641">
        <v>120208</v>
      </c>
      <c r="C1675" s="646" t="s">
        <v>2366</v>
      </c>
    </row>
    <row r="1676" spans="1:3" ht="15.6" hidden="1" customHeight="1">
      <c r="A1676" s="640" t="str">
        <f>IF('[2]Memória de Cálculo'!A2274&gt;0,'[2]Memória de Cálculo'!A2274,"")</f>
        <v/>
      </c>
      <c r="B1676" s="641">
        <v>120209</v>
      </c>
      <c r="C1676" s="646" t="s">
        <v>1546</v>
      </c>
    </row>
    <row r="1677" spans="1:3" ht="15.6" hidden="1" customHeight="1">
      <c r="A1677" s="640" t="str">
        <f>IF('[2]Memória de Cálculo'!A2275&gt;0,'[2]Memória de Cálculo'!A2275,"")</f>
        <v/>
      </c>
      <c r="B1677" s="641">
        <v>120210</v>
      </c>
      <c r="C1677" s="646" t="s">
        <v>1547</v>
      </c>
    </row>
    <row r="1678" spans="1:3" ht="15.6" hidden="1" customHeight="1">
      <c r="A1678" s="640" t="str">
        <f>IF('[2]Memória de Cálculo'!A2276&gt;0,'[2]Memória de Cálculo'!A2276,"")</f>
        <v/>
      </c>
      <c r="B1678" s="641">
        <v>120212</v>
      </c>
      <c r="C1678" s="646" t="s">
        <v>2367</v>
      </c>
    </row>
    <row r="1679" spans="1:3" ht="15.6" hidden="1" customHeight="1">
      <c r="A1679" s="640" t="str">
        <f>IF('[2]Memória de Cálculo'!A2277&gt;0,'[2]Memória de Cálculo'!A2277,"")</f>
        <v/>
      </c>
      <c r="B1679" s="641">
        <v>120901</v>
      </c>
      <c r="C1679" s="646" t="s">
        <v>1550</v>
      </c>
    </row>
    <row r="1680" spans="1:3" ht="15.6" hidden="1" customHeight="1">
      <c r="A1680" s="640" t="str">
        <f>IF('[2]Memória de Cálculo'!A2278&gt;0,'[2]Memória de Cálculo'!A2278,"")</f>
        <v/>
      </c>
      <c r="B1680" s="641">
        <v>120902</v>
      </c>
      <c r="C1680" s="646" t="s">
        <v>1551</v>
      </c>
    </row>
    <row r="1681" spans="1:3" ht="15.6" hidden="1" customHeight="1">
      <c r="A1681" s="640" t="str">
        <f>IF('[2]Memória de Cálculo'!A2279&gt;0,'[2]Memória de Cálculo'!A2279,"")</f>
        <v/>
      </c>
      <c r="B1681" s="641">
        <v>121001</v>
      </c>
      <c r="C1681" s="646" t="s">
        <v>1552</v>
      </c>
    </row>
    <row r="1682" spans="1:3" ht="15.6" hidden="1" customHeight="1">
      <c r="A1682" s="640" t="str">
        <f>IF('[2]Memória de Cálculo'!A2280&gt;0,'[2]Memória de Cálculo'!A2280,"")</f>
        <v/>
      </c>
      <c r="B1682" s="641">
        <v>121101</v>
      </c>
      <c r="C1682" s="646" t="s">
        <v>1553</v>
      </c>
    </row>
    <row r="1683" spans="1:3" ht="39.6" hidden="1" customHeight="1">
      <c r="A1683" s="640" t="str">
        <f>IF('[2]Memória de Cálculo'!A2281&gt;0,'[2]Memória de Cálculo'!A2281,"")</f>
        <v/>
      </c>
      <c r="B1683" s="641">
        <v>121105</v>
      </c>
      <c r="C1683" s="646" t="s">
        <v>1554</v>
      </c>
    </row>
    <row r="1684" spans="1:3" ht="15.6" hidden="1" customHeight="1">
      <c r="A1684" s="637"/>
      <c r="B1684" s="638">
        <v>130000</v>
      </c>
      <c r="C1684" s="639" t="s">
        <v>1555</v>
      </c>
    </row>
    <row r="1685" spans="1:3" ht="26.4" hidden="1" customHeight="1">
      <c r="A1685" s="640" t="str">
        <f>IF('[2]Memória de Cálculo'!A2283&gt;0,'[2]Memória de Cálculo'!A2283,"")</f>
        <v/>
      </c>
      <c r="B1685" s="641">
        <v>130103</v>
      </c>
      <c r="C1685" s="646" t="s">
        <v>1556</v>
      </c>
    </row>
    <row r="1686" spans="1:3" ht="26.4" hidden="1" customHeight="1">
      <c r="A1686" s="640" t="str">
        <f>IF('[2]Memória de Cálculo'!A2284&gt;0,'[2]Memória de Cálculo'!A2284,"")</f>
        <v/>
      </c>
      <c r="B1686" s="641">
        <v>130107</v>
      </c>
      <c r="C1686" s="646" t="s">
        <v>1557</v>
      </c>
    </row>
    <row r="1687" spans="1:3" ht="26.4" hidden="1" customHeight="1">
      <c r="A1687" s="640" t="str">
        <f>IF('[2]Memória de Cálculo'!A2285&gt;0,'[2]Memória de Cálculo'!A2285,"")</f>
        <v/>
      </c>
      <c r="B1687" s="641">
        <v>130150</v>
      </c>
      <c r="C1687" s="647" t="s">
        <v>1558</v>
      </c>
    </row>
    <row r="1688" spans="1:3" ht="15.6" hidden="1" customHeight="1">
      <c r="A1688" s="640" t="str">
        <f>IF('[2]Memória de Cálculo'!A2286&gt;0,'[2]Memória de Cálculo'!A2286,"")</f>
        <v/>
      </c>
      <c r="B1688" s="641">
        <v>130152</v>
      </c>
      <c r="C1688" s="646" t="s">
        <v>1559</v>
      </c>
    </row>
    <row r="1689" spans="1:3" ht="15.6" hidden="1" customHeight="1">
      <c r="A1689" s="640" t="str">
        <f>IF('[2]Memória de Cálculo'!A2287&gt;0,'[2]Memória de Cálculo'!A2287,"")</f>
        <v/>
      </c>
      <c r="B1689" s="641">
        <v>130160</v>
      </c>
      <c r="C1689" s="647" t="s">
        <v>1560</v>
      </c>
    </row>
    <row r="1690" spans="1:3" ht="15.6" hidden="1" customHeight="1">
      <c r="A1690" s="637"/>
      <c r="B1690" s="638">
        <v>140000</v>
      </c>
      <c r="C1690" s="639" t="s">
        <v>1561</v>
      </c>
    </row>
    <row r="1691" spans="1:3" ht="15.6" hidden="1" customHeight="1">
      <c r="A1691" s="640" t="str">
        <f>IF('[2]Memória de Cálculo'!A2289&gt;0,'[2]Memória de Cálculo'!A2289,"")</f>
        <v/>
      </c>
      <c r="B1691" s="641">
        <v>140101</v>
      </c>
      <c r="C1691" s="646" t="s">
        <v>2368</v>
      </c>
    </row>
    <row r="1692" spans="1:3" ht="15.6" hidden="1" customHeight="1">
      <c r="A1692" s="640" t="str">
        <f>IF('[2]Memória de Cálculo'!A2290&gt;0,'[2]Memória de Cálculo'!A2290,"")</f>
        <v/>
      </c>
      <c r="B1692" s="641">
        <v>140102</v>
      </c>
      <c r="C1692" s="646" t="s">
        <v>2369</v>
      </c>
    </row>
    <row r="1693" spans="1:3" ht="15.6" hidden="1" customHeight="1">
      <c r="A1693" s="640" t="str">
        <f>IF('[2]Memória de Cálculo'!A2291&gt;0,'[2]Memória de Cálculo'!A2291,"")</f>
        <v/>
      </c>
      <c r="B1693" s="641">
        <v>140103</v>
      </c>
      <c r="C1693" s="646" t="s">
        <v>2370</v>
      </c>
    </row>
    <row r="1694" spans="1:3" ht="15.6" hidden="1" customHeight="1">
      <c r="A1694" s="640" t="str">
        <f>IF('[2]Memória de Cálculo'!A2292&gt;0,'[2]Memória de Cálculo'!A2292,"")</f>
        <v/>
      </c>
      <c r="B1694" s="641">
        <v>140111</v>
      </c>
      <c r="C1694" s="646" t="s">
        <v>1565</v>
      </c>
    </row>
    <row r="1695" spans="1:3" ht="15.6" hidden="1" customHeight="1">
      <c r="A1695" s="640" t="str">
        <f>IF('[2]Memória de Cálculo'!A2293&gt;0,'[2]Memória de Cálculo'!A2293,"")</f>
        <v/>
      </c>
      <c r="B1695" s="641">
        <v>140112</v>
      </c>
      <c r="C1695" s="646" t="s">
        <v>1566</v>
      </c>
    </row>
    <row r="1696" spans="1:3" ht="15.6" hidden="1" customHeight="1">
      <c r="A1696" s="640" t="str">
        <f>IF('[2]Memória de Cálculo'!A2294&gt;0,'[2]Memória de Cálculo'!A2294,"")</f>
        <v/>
      </c>
      <c r="B1696" s="641">
        <v>140113</v>
      </c>
      <c r="C1696" s="646" t="s">
        <v>1567</v>
      </c>
    </row>
    <row r="1697" spans="1:3" ht="15.6" hidden="1" customHeight="1">
      <c r="A1697" s="640" t="str">
        <f>IF('[2]Memória de Cálculo'!A2295&gt;0,'[2]Memória de Cálculo'!A2295,"")</f>
        <v/>
      </c>
      <c r="B1697" s="641">
        <v>140118</v>
      </c>
      <c r="C1697" s="646" t="s">
        <v>1568</v>
      </c>
    </row>
    <row r="1698" spans="1:3" ht="15.6" hidden="1" customHeight="1">
      <c r="A1698" s="640" t="str">
        <f>IF('[2]Memória de Cálculo'!A2296&gt;0,'[2]Memória de Cálculo'!A2296,"")</f>
        <v/>
      </c>
      <c r="B1698" s="641">
        <v>140119</v>
      </c>
      <c r="C1698" s="646" t="s">
        <v>1569</v>
      </c>
    </row>
    <row r="1699" spans="1:3" ht="26.4" hidden="1" customHeight="1">
      <c r="A1699" s="640" t="str">
        <f>IF('[2]Memória de Cálculo'!A2297&gt;0,'[2]Memória de Cálculo'!A2297,"")</f>
        <v/>
      </c>
      <c r="B1699" s="641">
        <v>140200</v>
      </c>
      <c r="C1699" s="646" t="s">
        <v>2371</v>
      </c>
    </row>
    <row r="1700" spans="1:3" ht="15.6" hidden="1" customHeight="1">
      <c r="A1700" s="640" t="str">
        <f>IF('[2]Memória de Cálculo'!A2298&gt;0,'[2]Memória de Cálculo'!A2298,"")</f>
        <v/>
      </c>
      <c r="B1700" s="641">
        <v>140201</v>
      </c>
      <c r="C1700" s="646" t="s">
        <v>2372</v>
      </c>
    </row>
    <row r="1701" spans="1:3" ht="15.6" hidden="1" customHeight="1">
      <c r="A1701" s="640" t="str">
        <f>IF('[2]Memória de Cálculo'!A2299&gt;0,'[2]Memória de Cálculo'!A2299,"")</f>
        <v/>
      </c>
      <c r="B1701" s="641">
        <v>140202</v>
      </c>
      <c r="C1701" s="646" t="s">
        <v>1572</v>
      </c>
    </row>
    <row r="1702" spans="1:3" ht="15.6" hidden="1" customHeight="1">
      <c r="A1702" s="640" t="str">
        <f>IF('[2]Memória de Cálculo'!A2300&gt;0,'[2]Memória de Cálculo'!A2300,"")</f>
        <v/>
      </c>
      <c r="B1702" s="641">
        <v>140203</v>
      </c>
      <c r="C1702" s="646" t="s">
        <v>1573</v>
      </c>
    </row>
    <row r="1703" spans="1:3" ht="15.6" hidden="1" customHeight="1">
      <c r="A1703" s="640" t="str">
        <f>IF('[2]Memória de Cálculo'!A2301&gt;0,'[2]Memória de Cálculo'!A2301,"")</f>
        <v/>
      </c>
      <c r="B1703" s="641">
        <v>140205</v>
      </c>
      <c r="C1703" s="646" t="s">
        <v>1574</v>
      </c>
    </row>
    <row r="1704" spans="1:3" ht="15.6" hidden="1" customHeight="1">
      <c r="A1704" s="640" t="str">
        <f>IF('[2]Memória de Cálculo'!A2302&gt;0,'[2]Memória de Cálculo'!A2302,"")</f>
        <v/>
      </c>
      <c r="B1704" s="641">
        <v>140206</v>
      </c>
      <c r="C1704" s="646" t="s">
        <v>2373</v>
      </c>
    </row>
    <row r="1705" spans="1:3" ht="15.6" hidden="1" customHeight="1">
      <c r="A1705" s="640">
        <f>IF('[2]Memória de Cálculo'!A2303&gt;0,'[2]Memória de Cálculo'!A2303,"")</f>
        <v>8</v>
      </c>
      <c r="B1705" s="641">
        <v>140301</v>
      </c>
      <c r="C1705" s="646" t="s">
        <v>2374</v>
      </c>
    </row>
    <row r="1706" spans="1:3" ht="15.6">
      <c r="A1706" s="637">
        <v>8</v>
      </c>
      <c r="B1706" s="638">
        <v>150000</v>
      </c>
      <c r="C1706" s="639" t="s">
        <v>1577</v>
      </c>
    </row>
    <row r="1707" spans="1:3" ht="26.4">
      <c r="A1707" s="640" t="s">
        <v>3639</v>
      </c>
      <c r="B1707" s="641">
        <v>150103</v>
      </c>
      <c r="C1707" s="646" t="s">
        <v>1578</v>
      </c>
    </row>
    <row r="1708" spans="1:3" ht="43.2" customHeight="1">
      <c r="A1708" s="640"/>
      <c r="B1708" s="641"/>
      <c r="C1708" s="646" t="s">
        <v>4042</v>
      </c>
    </row>
    <row r="1709" spans="1:3">
      <c r="A1709" s="656"/>
      <c r="B1709" s="656"/>
      <c r="C1709" s="656"/>
    </row>
    <row r="1710" spans="1:3" ht="26.4">
      <c r="A1710" s="640" t="s">
        <v>3640</v>
      </c>
      <c r="B1710" s="641">
        <v>150204</v>
      </c>
      <c r="C1710" s="646" t="s">
        <v>1579</v>
      </c>
    </row>
    <row r="1711" spans="1:3" ht="52.8">
      <c r="A1711" s="640"/>
      <c r="B1711" s="641"/>
      <c r="C1711" s="646" t="s">
        <v>4043</v>
      </c>
    </row>
    <row r="1712" spans="1:3">
      <c r="A1712" s="656"/>
      <c r="B1712" s="656"/>
      <c r="C1712" s="656"/>
    </row>
    <row r="1713" spans="1:3" ht="39.6">
      <c r="A1713" s="648" t="s">
        <v>3641</v>
      </c>
      <c r="B1713" s="644" t="s">
        <v>2750</v>
      </c>
      <c r="C1713" s="645" t="s">
        <v>2751</v>
      </c>
    </row>
    <row r="1714" spans="1:3" ht="52.8">
      <c r="A1714" s="648"/>
      <c r="B1714" s="644"/>
      <c r="C1714" s="645" t="s">
        <v>4044</v>
      </c>
    </row>
    <row r="1715" spans="1:3">
      <c r="A1715" s="656"/>
      <c r="B1715" s="656"/>
      <c r="C1715" s="656"/>
    </row>
    <row r="1716" spans="1:3" ht="27" customHeight="1">
      <c r="A1716" s="648" t="s">
        <v>3642</v>
      </c>
      <c r="B1716" s="644">
        <v>120101</v>
      </c>
      <c r="C1716" s="645" t="s">
        <v>1538</v>
      </c>
    </row>
    <row r="1717" spans="1:3">
      <c r="A1717" s="648" t="s">
        <v>3643</v>
      </c>
      <c r="B1717" s="644" t="s">
        <v>3376</v>
      </c>
      <c r="C1717" s="645" t="s">
        <v>3377</v>
      </c>
    </row>
    <row r="1718" spans="1:3" ht="118.8">
      <c r="A1718" s="648"/>
      <c r="B1718" s="644"/>
      <c r="C1718" s="645" t="s">
        <v>4045</v>
      </c>
    </row>
    <row r="1719" spans="1:3">
      <c r="A1719" s="656"/>
      <c r="B1719" s="656"/>
      <c r="C1719" s="656"/>
    </row>
    <row r="1720" spans="1:3" ht="15.6">
      <c r="A1720" s="637">
        <v>9</v>
      </c>
      <c r="B1720" s="638">
        <v>160000</v>
      </c>
      <c r="C1720" s="639" t="s">
        <v>1580</v>
      </c>
    </row>
    <row r="1721" spans="1:3" ht="15.6" hidden="1" customHeight="1">
      <c r="A1721" s="640" t="str">
        <f>IF('[2]Memória de Cálculo'!A2331&gt;0,'[2]Memória de Cálculo'!A2331,"")</f>
        <v/>
      </c>
      <c r="B1721" s="641">
        <v>160100</v>
      </c>
      <c r="C1721" s="646" t="s">
        <v>1581</v>
      </c>
    </row>
    <row r="1722" spans="1:3" ht="15.6" hidden="1" customHeight="1">
      <c r="A1722" s="640" t="str">
        <f>IF('[2]Memória de Cálculo'!A2332&gt;0,'[2]Memória de Cálculo'!A2332,"")</f>
        <v/>
      </c>
      <c r="B1722" s="641">
        <v>160101</v>
      </c>
      <c r="C1722" s="646" t="s">
        <v>1582</v>
      </c>
    </row>
    <row r="1723" spans="1:3" ht="15.6" hidden="1" customHeight="1">
      <c r="A1723" s="640" t="str">
        <f>IF('[2]Memória de Cálculo'!A2333&gt;0,'[2]Memória de Cálculo'!A2333,"")</f>
        <v/>
      </c>
      <c r="B1723" s="641">
        <v>160301</v>
      </c>
      <c r="C1723" s="646" t="s">
        <v>1583</v>
      </c>
    </row>
    <row r="1724" spans="1:3" ht="15.6" hidden="1" customHeight="1">
      <c r="A1724" s="640" t="str">
        <f>IF('[2]Memória de Cálculo'!A2334&gt;0,'[2]Memória de Cálculo'!A2334,"")</f>
        <v/>
      </c>
      <c r="B1724" s="641">
        <v>160302</v>
      </c>
      <c r="C1724" s="646" t="s">
        <v>1584</v>
      </c>
    </row>
    <row r="1725" spans="1:3" ht="15.6" hidden="1" customHeight="1">
      <c r="A1725" s="640" t="str">
        <f>IF('[2]Memória de Cálculo'!A2335&gt;0,'[2]Memória de Cálculo'!A2335,"")</f>
        <v/>
      </c>
      <c r="B1725" s="641">
        <v>160401</v>
      </c>
      <c r="C1725" s="646" t="s">
        <v>1585</v>
      </c>
    </row>
    <row r="1726" spans="1:3" ht="15.6" hidden="1" customHeight="1">
      <c r="A1726" s="640" t="str">
        <f>IF('[2]Memória de Cálculo'!A2336&gt;0,'[2]Memória de Cálculo'!A2336,"")</f>
        <v/>
      </c>
      <c r="B1726" s="641">
        <v>160402</v>
      </c>
      <c r="C1726" s="646" t="s">
        <v>1586</v>
      </c>
    </row>
    <row r="1727" spans="1:3" ht="15.6" hidden="1" customHeight="1">
      <c r="A1727" s="640" t="str">
        <f>IF('[2]Memória de Cálculo'!A2337&gt;0,'[2]Memória de Cálculo'!A2337,"")</f>
        <v/>
      </c>
      <c r="B1727" s="641">
        <v>160403</v>
      </c>
      <c r="C1727" s="646" t="s">
        <v>1587</v>
      </c>
    </row>
    <row r="1728" spans="1:3" ht="15.6" hidden="1" customHeight="1">
      <c r="A1728" s="640" t="str">
        <f>IF('[2]Memória de Cálculo'!A2338&gt;0,'[2]Memória de Cálculo'!A2338,"")</f>
        <v/>
      </c>
      <c r="B1728" s="641">
        <v>160404</v>
      </c>
      <c r="C1728" s="646" t="s">
        <v>1588</v>
      </c>
    </row>
    <row r="1729" spans="1:3" ht="15.6" hidden="1" customHeight="1">
      <c r="A1729" s="640" t="str">
        <f>IF('[2]Memória de Cálculo'!A2339&gt;0,'[2]Memória de Cálculo'!A2339,"")</f>
        <v/>
      </c>
      <c r="B1729" s="641">
        <v>160421</v>
      </c>
      <c r="C1729" s="646" t="s">
        <v>2375</v>
      </c>
    </row>
    <row r="1730" spans="1:3" ht="15.6" hidden="1" customHeight="1">
      <c r="A1730" s="640" t="str">
        <f>IF('[2]Memória de Cálculo'!A2340&gt;0,'[2]Memória de Cálculo'!A2340,"")</f>
        <v/>
      </c>
      <c r="B1730" s="641">
        <v>160501</v>
      </c>
      <c r="C1730" s="646" t="s">
        <v>2376</v>
      </c>
    </row>
    <row r="1731" spans="1:3" ht="15.6" hidden="1" customHeight="1">
      <c r="A1731" s="640" t="str">
        <f>IF('[2]Memória de Cálculo'!A2341&gt;0,'[2]Memória de Cálculo'!A2341,"")</f>
        <v>9.1</v>
      </c>
      <c r="B1731" s="641">
        <v>160502</v>
      </c>
      <c r="C1731" s="646" t="s">
        <v>2377</v>
      </c>
    </row>
    <row r="1732" spans="1:3">
      <c r="A1732" s="640" t="s">
        <v>2827</v>
      </c>
      <c r="B1732" s="641">
        <v>160600</v>
      </c>
      <c r="C1732" s="646" t="s">
        <v>1592</v>
      </c>
    </row>
    <row r="1733" spans="1:3" ht="15.6" hidden="1" customHeight="1">
      <c r="A1733" s="640" t="str">
        <f>IF('[2]Memória de Cálculo'!A2345&gt;0,'[2]Memória de Cálculo'!A2345,"")</f>
        <v/>
      </c>
      <c r="B1733" s="641">
        <v>160601</v>
      </c>
      <c r="C1733" s="646" t="s">
        <v>1592</v>
      </c>
    </row>
    <row r="1734" spans="1:3">
      <c r="A1734" s="640" t="s">
        <v>2828</v>
      </c>
      <c r="B1734" s="641">
        <v>160602</v>
      </c>
      <c r="C1734" s="646" t="s">
        <v>1593</v>
      </c>
    </row>
    <row r="1735" spans="1:3" ht="15.6" hidden="1" customHeight="1">
      <c r="A1735" s="640" t="str">
        <f>IF('[2]Memória de Cálculo'!A2352&gt;0,'[2]Memória de Cálculo'!A2352,"")</f>
        <v/>
      </c>
      <c r="B1735" s="641">
        <v>160603</v>
      </c>
      <c r="C1735" s="646" t="s">
        <v>1593</v>
      </c>
    </row>
    <row r="1736" spans="1:3" ht="15.6" hidden="1" customHeight="1">
      <c r="A1736" s="640" t="str">
        <f>IF('[2]Memória de Cálculo'!A2353&gt;0,'[2]Memória de Cálculo'!A2353,"")</f>
        <v/>
      </c>
      <c r="B1736" s="641">
        <v>160801</v>
      </c>
      <c r="C1736" s="646" t="s">
        <v>1594</v>
      </c>
    </row>
    <row r="1737" spans="1:3" ht="15.6" hidden="1" customHeight="1">
      <c r="A1737" s="640" t="str">
        <f>IF('[2]Memória de Cálculo'!A2354&gt;0,'[2]Memória de Cálculo'!A2354,"")</f>
        <v/>
      </c>
      <c r="B1737" s="641">
        <v>160901</v>
      </c>
      <c r="C1737" s="646" t="s">
        <v>1595</v>
      </c>
    </row>
    <row r="1738" spans="1:3" ht="15.6" hidden="1" customHeight="1">
      <c r="A1738" s="640" t="str">
        <f>IF('[2]Memória de Cálculo'!A2355&gt;0,'[2]Memória de Cálculo'!A2355,"")</f>
        <v/>
      </c>
      <c r="B1738" s="641">
        <v>160905</v>
      </c>
      <c r="C1738" s="646" t="s">
        <v>1596</v>
      </c>
    </row>
    <row r="1739" spans="1:3" ht="15.6" hidden="1" customHeight="1">
      <c r="A1739" s="640" t="str">
        <f>IF('[2]Memória de Cálculo'!A2356&gt;0,'[2]Memória de Cálculo'!A2356,"")</f>
        <v/>
      </c>
      <c r="B1739" s="641">
        <v>160906</v>
      </c>
      <c r="C1739" s="646" t="s">
        <v>1597</v>
      </c>
    </row>
    <row r="1740" spans="1:3" ht="15.6" hidden="1" customHeight="1">
      <c r="A1740" s="640" t="str">
        <f>IF('[2]Memória de Cálculo'!A2357&gt;0,'[2]Memória de Cálculo'!A2357,"")</f>
        <v/>
      </c>
      <c r="B1740" s="641">
        <v>160908</v>
      </c>
      <c r="C1740" s="646" t="s">
        <v>1598</v>
      </c>
    </row>
    <row r="1741" spans="1:3" ht="26.4" hidden="1" customHeight="1">
      <c r="A1741" s="640" t="str">
        <f>IF('[2]Memória de Cálculo'!A2358&gt;0,'[2]Memória de Cálculo'!A2358,"")</f>
        <v/>
      </c>
      <c r="B1741" s="641">
        <v>160909</v>
      </c>
      <c r="C1741" s="647" t="s">
        <v>1599</v>
      </c>
    </row>
    <row r="1742" spans="1:3" ht="26.4" hidden="1" customHeight="1">
      <c r="A1742" s="640" t="str">
        <f>IF('[2]Memória de Cálculo'!A2359&gt;0,'[2]Memória de Cálculo'!A2359,"")</f>
        <v/>
      </c>
      <c r="B1742" s="641">
        <v>160910</v>
      </c>
      <c r="C1742" s="647" t="s">
        <v>1600</v>
      </c>
    </row>
    <row r="1743" spans="1:3" ht="15.6" hidden="1" customHeight="1">
      <c r="A1743" s="640" t="str">
        <f>IF('[2]Memória de Cálculo'!A2360&gt;0,'[2]Memória de Cálculo'!A2360,"")</f>
        <v>9.3</v>
      </c>
      <c r="B1743" s="641">
        <v>160911</v>
      </c>
      <c r="C1743" s="646" t="s">
        <v>1601</v>
      </c>
    </row>
    <row r="1744" spans="1:3">
      <c r="A1744" s="640" t="s">
        <v>2829</v>
      </c>
      <c r="B1744" s="641">
        <v>160963</v>
      </c>
      <c r="C1744" s="646" t="s">
        <v>1602</v>
      </c>
    </row>
    <row r="1745" spans="1:3" ht="15.6" hidden="1" customHeight="1">
      <c r="A1745" s="640" t="str">
        <f>IF('[2]Memória de Cálculo'!A2364&gt;0,'[2]Memória de Cálculo'!A2364,"")</f>
        <v/>
      </c>
      <c r="B1745" s="641">
        <v>160964</v>
      </c>
      <c r="C1745" s="646" t="s">
        <v>1603</v>
      </c>
    </row>
    <row r="1746" spans="1:3" ht="15.6" hidden="1" customHeight="1">
      <c r="A1746" s="640" t="str">
        <f>IF('[2]Memória de Cálculo'!A2365&gt;0,'[2]Memória de Cálculo'!A2365,"")</f>
        <v/>
      </c>
      <c r="B1746" s="641">
        <v>160965</v>
      </c>
      <c r="C1746" s="646" t="s">
        <v>1604</v>
      </c>
    </row>
    <row r="1747" spans="1:3" ht="15.6" hidden="1" customHeight="1">
      <c r="A1747" s="640" t="str">
        <f>IF('[2]Memória de Cálculo'!A2366&gt;0,'[2]Memória de Cálculo'!A2366,"")</f>
        <v/>
      </c>
      <c r="B1747" s="641">
        <v>160966</v>
      </c>
      <c r="C1747" s="646" t="s">
        <v>1605</v>
      </c>
    </row>
    <row r="1748" spans="1:3" ht="15.6" hidden="1" customHeight="1">
      <c r="A1748" s="640" t="str">
        <f>IF('[2]Memória de Cálculo'!A2367&gt;0,'[2]Memória de Cálculo'!A2367,"")</f>
        <v>9.4</v>
      </c>
      <c r="B1748" s="641">
        <v>160967</v>
      </c>
      <c r="C1748" s="646" t="s">
        <v>1606</v>
      </c>
    </row>
    <row r="1749" spans="1:3" ht="66">
      <c r="A1749" s="640"/>
      <c r="B1749" s="641"/>
      <c r="C1749" s="646" t="s">
        <v>4046</v>
      </c>
    </row>
    <row r="1750" spans="1:3">
      <c r="A1750" s="656"/>
      <c r="B1750" s="656"/>
      <c r="C1750" s="656"/>
    </row>
    <row r="1751" spans="1:3">
      <c r="A1751" s="640" t="s">
        <v>3644</v>
      </c>
      <c r="B1751" s="641">
        <v>160969</v>
      </c>
      <c r="C1751" s="646" t="s">
        <v>1607</v>
      </c>
    </row>
    <row r="1752" spans="1:3" ht="26.4">
      <c r="A1752" s="648" t="s">
        <v>3840</v>
      </c>
      <c r="B1752" s="644" t="s">
        <v>3232</v>
      </c>
      <c r="C1752" s="645" t="s">
        <v>4047</v>
      </c>
    </row>
    <row r="1753" spans="1:3" ht="15.6" hidden="1" customHeight="1">
      <c r="A1753" s="640" t="str">
        <f>IF('[2]Memória de Cálculo'!A2375&gt;0,'[2]Memória de Cálculo'!A2375,"")</f>
        <v/>
      </c>
      <c r="B1753" s="641">
        <v>160970</v>
      </c>
      <c r="C1753" s="646" t="s">
        <v>1608</v>
      </c>
    </row>
    <row r="1754" spans="1:3" ht="79.2">
      <c r="A1754" s="640"/>
      <c r="B1754" s="641"/>
      <c r="C1754" s="646" t="s">
        <v>4048</v>
      </c>
    </row>
    <row r="1755" spans="1:3">
      <c r="A1755" s="656"/>
      <c r="B1755" s="656"/>
      <c r="C1755" s="656"/>
    </row>
    <row r="1756" spans="1:3" ht="15.6" hidden="1" customHeight="1">
      <c r="A1756" s="637"/>
      <c r="B1756" s="638">
        <v>170000</v>
      </c>
      <c r="C1756" s="639" t="s">
        <v>1609</v>
      </c>
    </row>
    <row r="1757" spans="1:3" ht="15.6" hidden="1" customHeight="1">
      <c r="A1757" s="640" t="str">
        <f>IF('[2]Memória de Cálculo'!A2377&gt;0,'[2]Memória de Cálculo'!A2377,"")</f>
        <v/>
      </c>
      <c r="B1757" s="641">
        <v>170010</v>
      </c>
      <c r="C1757" s="646" t="s">
        <v>1610</v>
      </c>
    </row>
    <row r="1758" spans="1:3" ht="15.6" hidden="1" customHeight="1">
      <c r="A1758" s="640" t="str">
        <f>IF('[2]Memória de Cálculo'!A2378&gt;0,'[2]Memória de Cálculo'!A2378,"")</f>
        <v/>
      </c>
      <c r="B1758" s="641">
        <v>170015</v>
      </c>
      <c r="C1758" s="646" t="s">
        <v>2378</v>
      </c>
    </row>
    <row r="1759" spans="1:3" ht="15.6" hidden="1" customHeight="1">
      <c r="A1759" s="640" t="str">
        <f>IF('[2]Memória de Cálculo'!A2379&gt;0,'[2]Memória de Cálculo'!A2379,"")</f>
        <v/>
      </c>
      <c r="B1759" s="641">
        <v>170101</v>
      </c>
      <c r="C1759" s="646" t="s">
        <v>2379</v>
      </c>
    </row>
    <row r="1760" spans="1:3" ht="15.6" hidden="1" customHeight="1">
      <c r="A1760" s="640" t="str">
        <f>IF('[2]Memória de Cálculo'!A2380&gt;0,'[2]Memória de Cálculo'!A2380,"")</f>
        <v/>
      </c>
      <c r="B1760" s="641">
        <v>170102</v>
      </c>
      <c r="C1760" s="646" t="s">
        <v>2380</v>
      </c>
    </row>
    <row r="1761" spans="1:3" ht="15.6" hidden="1" customHeight="1">
      <c r="A1761" s="640" t="str">
        <f>IF('[2]Memória de Cálculo'!A2381&gt;0,'[2]Memória de Cálculo'!A2381,"")</f>
        <v/>
      </c>
      <c r="B1761" s="641">
        <v>170103</v>
      </c>
      <c r="C1761" s="646" t="s">
        <v>1615</v>
      </c>
    </row>
    <row r="1762" spans="1:3" ht="15.6" hidden="1" customHeight="1">
      <c r="A1762" s="640" t="str">
        <f>IF('[2]Memória de Cálculo'!A2382&gt;0,'[2]Memória de Cálculo'!A2382,"")</f>
        <v/>
      </c>
      <c r="B1762" s="641">
        <v>170104</v>
      </c>
      <c r="C1762" s="646" t="s">
        <v>1616</v>
      </c>
    </row>
    <row r="1763" spans="1:3" ht="26.4" hidden="1" customHeight="1">
      <c r="A1763" s="640" t="str">
        <f>IF('[2]Memória de Cálculo'!A2383&gt;0,'[2]Memória de Cálculo'!A2383,"")</f>
        <v/>
      </c>
      <c r="B1763" s="641">
        <v>170106</v>
      </c>
      <c r="C1763" s="647" t="s">
        <v>1617</v>
      </c>
    </row>
    <row r="1764" spans="1:3" ht="15.6" hidden="1" customHeight="1">
      <c r="A1764" s="640" t="str">
        <f>IF('[2]Memória de Cálculo'!A2384&gt;0,'[2]Memória de Cálculo'!A2384,"")</f>
        <v/>
      </c>
      <c r="B1764" s="641">
        <v>170107</v>
      </c>
      <c r="C1764" s="646" t="s">
        <v>1618</v>
      </c>
    </row>
    <row r="1765" spans="1:3" ht="15.6" hidden="1" customHeight="1">
      <c r="A1765" s="640" t="str">
        <f>IF('[2]Memória de Cálculo'!A2385&gt;0,'[2]Memória de Cálculo'!A2385,"")</f>
        <v/>
      </c>
      <c r="B1765" s="641">
        <v>170108</v>
      </c>
      <c r="C1765" s="646" t="s">
        <v>1619</v>
      </c>
    </row>
    <row r="1766" spans="1:3" ht="15.6" hidden="1" customHeight="1">
      <c r="A1766" s="640" t="str">
        <f>IF('[2]Memória de Cálculo'!A2386&gt;0,'[2]Memória de Cálculo'!A2386,"")</f>
        <v/>
      </c>
      <c r="B1766" s="641">
        <v>170109</v>
      </c>
      <c r="C1766" s="646" t="s">
        <v>1620</v>
      </c>
    </row>
    <row r="1767" spans="1:3" ht="15.6" hidden="1" customHeight="1">
      <c r="A1767" s="640" t="str">
        <f>IF('[2]Memória de Cálculo'!A2387&gt;0,'[2]Memória de Cálculo'!A2387,"")</f>
        <v/>
      </c>
      <c r="B1767" s="641">
        <v>170110</v>
      </c>
      <c r="C1767" s="646" t="s">
        <v>1621</v>
      </c>
    </row>
    <row r="1768" spans="1:3" ht="15.6" hidden="1" customHeight="1">
      <c r="A1768" s="640" t="str">
        <f>IF('[2]Memória de Cálculo'!A2388&gt;0,'[2]Memória de Cálculo'!A2388,"")</f>
        <v/>
      </c>
      <c r="B1768" s="641">
        <v>170111</v>
      </c>
      <c r="C1768" s="646" t="s">
        <v>1622</v>
      </c>
    </row>
    <row r="1769" spans="1:3" ht="15.6" hidden="1" customHeight="1">
      <c r="A1769" s="640" t="str">
        <f>IF('[2]Memória de Cálculo'!A2389&gt;0,'[2]Memória de Cálculo'!A2389,"")</f>
        <v/>
      </c>
      <c r="B1769" s="641">
        <v>170112</v>
      </c>
      <c r="C1769" s="646" t="s">
        <v>1623</v>
      </c>
    </row>
    <row r="1770" spans="1:3" ht="15.6" hidden="1" customHeight="1">
      <c r="A1770" s="640" t="str">
        <f>IF('[2]Memória de Cálculo'!A2390&gt;0,'[2]Memória de Cálculo'!A2390,"")</f>
        <v/>
      </c>
      <c r="B1770" s="641">
        <v>170113</v>
      </c>
      <c r="C1770" s="646" t="s">
        <v>1624</v>
      </c>
    </row>
    <row r="1771" spans="1:3" ht="15.6" hidden="1" customHeight="1">
      <c r="A1771" s="640" t="str">
        <f>IF('[2]Memória de Cálculo'!A2391&gt;0,'[2]Memória de Cálculo'!A2391,"")</f>
        <v/>
      </c>
      <c r="B1771" s="641">
        <v>170114</v>
      </c>
      <c r="C1771" s="646" t="s">
        <v>1625</v>
      </c>
    </row>
    <row r="1772" spans="1:3" ht="15.6" hidden="1" customHeight="1">
      <c r="A1772" s="640" t="str">
        <f>IF('[2]Memória de Cálculo'!A2392&gt;0,'[2]Memória de Cálculo'!A2392,"")</f>
        <v/>
      </c>
      <c r="B1772" s="641">
        <v>170115</v>
      </c>
      <c r="C1772" s="646" t="s">
        <v>1626</v>
      </c>
    </row>
    <row r="1773" spans="1:3" ht="15.6" hidden="1" customHeight="1">
      <c r="A1773" s="640" t="str">
        <f>IF('[2]Memória de Cálculo'!A2393&gt;0,'[2]Memória de Cálculo'!A2393,"")</f>
        <v/>
      </c>
      <c r="B1773" s="641">
        <v>170116</v>
      </c>
      <c r="C1773" s="646" t="s">
        <v>1627</v>
      </c>
    </row>
    <row r="1774" spans="1:3" ht="15.6" hidden="1" customHeight="1">
      <c r="A1774" s="640">
        <f>IF('[2]Memória de Cálculo'!A2394&gt;0,'[2]Memória de Cálculo'!A2394,"")</f>
        <v>10</v>
      </c>
      <c r="B1774" s="641">
        <v>170117</v>
      </c>
      <c r="C1774" s="646" t="s">
        <v>1628</v>
      </c>
    </row>
    <row r="1775" spans="1:3" ht="46.8">
      <c r="A1775" s="637">
        <v>10</v>
      </c>
      <c r="B1775" s="638">
        <v>180000</v>
      </c>
      <c r="C1775" s="639" t="s">
        <v>2381</v>
      </c>
    </row>
    <row r="1776" spans="1:3" ht="26.4">
      <c r="A1776" s="648" t="s">
        <v>2830</v>
      </c>
      <c r="B1776" s="644" t="s">
        <v>2872</v>
      </c>
      <c r="C1776" s="645" t="s">
        <v>2873</v>
      </c>
    </row>
    <row r="1777" spans="1:3" ht="26.4">
      <c r="A1777" s="648" t="s">
        <v>2831</v>
      </c>
      <c r="B1777" s="644" t="s">
        <v>2874</v>
      </c>
      <c r="C1777" s="645" t="s">
        <v>3235</v>
      </c>
    </row>
    <row r="1778" spans="1:3" ht="26.4">
      <c r="A1778" s="648" t="s">
        <v>2832</v>
      </c>
      <c r="B1778" s="644" t="s">
        <v>2778</v>
      </c>
      <c r="C1778" s="645" t="s">
        <v>2864</v>
      </c>
    </row>
    <row r="1779" spans="1:3">
      <c r="A1779" s="648" t="s">
        <v>3645</v>
      </c>
      <c r="B1779" s="644" t="s">
        <v>3767</v>
      </c>
      <c r="C1779" s="645" t="s">
        <v>3292</v>
      </c>
    </row>
    <row r="1780" spans="1:3" ht="26.4" hidden="1" customHeight="1">
      <c r="A1780" s="640" t="str">
        <f>IF('[2]Memória de Cálculo'!A2396&gt;0,'[2]Memória de Cálculo'!A2396,"")</f>
        <v/>
      </c>
      <c r="B1780" s="641">
        <v>180101</v>
      </c>
      <c r="C1780" s="646" t="s">
        <v>1629</v>
      </c>
    </row>
    <row r="1781" spans="1:3" ht="26.4" hidden="1" customHeight="1">
      <c r="A1781" s="640" t="str">
        <f>IF('[2]Memória de Cálculo'!A2397&gt;0,'[2]Memória de Cálculo'!A2397,"")</f>
        <v/>
      </c>
      <c r="B1781" s="641">
        <v>180102</v>
      </c>
      <c r="C1781" s="646" t="s">
        <v>1630</v>
      </c>
    </row>
    <row r="1782" spans="1:3" ht="15.6" hidden="1" customHeight="1">
      <c r="A1782" s="640" t="str">
        <f>IF('[2]Memória de Cálculo'!A2398&gt;0,'[2]Memória de Cálculo'!A2398,"")</f>
        <v/>
      </c>
      <c r="B1782" s="641">
        <v>180103</v>
      </c>
      <c r="C1782" s="646" t="s">
        <v>1631</v>
      </c>
    </row>
    <row r="1783" spans="1:3" ht="15.6" hidden="1" customHeight="1">
      <c r="A1783" s="640" t="str">
        <f>IF('[2]Memória de Cálculo'!A2399&gt;0,'[2]Memória de Cálculo'!A2399,"")</f>
        <v/>
      </c>
      <c r="B1783" s="641">
        <v>180104</v>
      </c>
      <c r="C1783" s="646" t="s">
        <v>1632</v>
      </c>
    </row>
    <row r="1784" spans="1:3" ht="15.6" hidden="1" customHeight="1">
      <c r="A1784" s="640" t="str">
        <f>IF('[2]Memória de Cálculo'!A2400&gt;0,'[2]Memória de Cálculo'!A2400,"")</f>
        <v/>
      </c>
      <c r="B1784" s="641">
        <v>180105</v>
      </c>
      <c r="C1784" s="646" t="s">
        <v>2382</v>
      </c>
    </row>
    <row r="1785" spans="1:3" ht="26.4" hidden="1" customHeight="1">
      <c r="A1785" s="640" t="str">
        <f>IF('[2]Memória de Cálculo'!A2401&gt;0,'[2]Memória de Cálculo'!A2401,"")</f>
        <v/>
      </c>
      <c r="B1785" s="641">
        <v>180111</v>
      </c>
      <c r="C1785" s="646" t="s">
        <v>2383</v>
      </c>
    </row>
    <row r="1786" spans="1:3" ht="26.4" hidden="1" customHeight="1">
      <c r="A1786" s="640" t="str">
        <f>IF('[2]Memória de Cálculo'!A2402&gt;0,'[2]Memória de Cálculo'!A2402,"")</f>
        <v/>
      </c>
      <c r="B1786" s="641">
        <v>180112</v>
      </c>
      <c r="C1786" s="646" t="s">
        <v>2384</v>
      </c>
    </row>
    <row r="1787" spans="1:3" ht="15.6" hidden="1" customHeight="1">
      <c r="A1787" s="640" t="str">
        <f>IF('[2]Memória de Cálculo'!A2403&gt;0,'[2]Memória de Cálculo'!A2403,"")</f>
        <v/>
      </c>
      <c r="B1787" s="641">
        <v>180113</v>
      </c>
      <c r="C1787" s="646" t="s">
        <v>1636</v>
      </c>
    </row>
    <row r="1788" spans="1:3" ht="15.6" hidden="1" customHeight="1">
      <c r="A1788" s="640" t="str">
        <f>IF('[2]Memória de Cálculo'!A2404&gt;0,'[2]Memória de Cálculo'!A2404,"")</f>
        <v/>
      </c>
      <c r="B1788" s="641">
        <v>180114</v>
      </c>
      <c r="C1788" s="647" t="s">
        <v>1637</v>
      </c>
    </row>
    <row r="1789" spans="1:3" ht="15.6" hidden="1" customHeight="1">
      <c r="A1789" s="640" t="str">
        <f>IF('[2]Memória de Cálculo'!A2405&gt;0,'[2]Memória de Cálculo'!A2405,"")</f>
        <v/>
      </c>
      <c r="B1789" s="641">
        <v>180115</v>
      </c>
      <c r="C1789" s="646" t="s">
        <v>2385</v>
      </c>
    </row>
    <row r="1790" spans="1:3" ht="15.6" hidden="1" customHeight="1">
      <c r="A1790" s="640" t="str">
        <f>IF('[2]Memória de Cálculo'!A2406&gt;0,'[2]Memória de Cálculo'!A2406,"")</f>
        <v/>
      </c>
      <c r="B1790" s="641">
        <v>180204</v>
      </c>
      <c r="C1790" s="646" t="s">
        <v>1639</v>
      </c>
    </row>
    <row r="1791" spans="1:3" ht="15.6" hidden="1" customHeight="1">
      <c r="A1791" s="640" t="str">
        <f>IF('[2]Memória de Cálculo'!A2407&gt;0,'[2]Memória de Cálculo'!A2407,"")</f>
        <v/>
      </c>
      <c r="B1791" s="641">
        <v>180208</v>
      </c>
      <c r="C1791" s="646" t="s">
        <v>1640</v>
      </c>
    </row>
    <row r="1792" spans="1:3" ht="15.6" hidden="1" customHeight="1">
      <c r="A1792" s="640" t="str">
        <f>IF('[2]Memória de Cálculo'!A2408&gt;0,'[2]Memória de Cálculo'!A2408,"")</f>
        <v/>
      </c>
      <c r="B1792" s="641">
        <v>180280</v>
      </c>
      <c r="C1792" s="646" t="s">
        <v>2386</v>
      </c>
    </row>
    <row r="1793" spans="1:3" ht="15.6" hidden="1" customHeight="1">
      <c r="A1793" s="640" t="str">
        <f>IF('[2]Memória de Cálculo'!A2409&gt;0,'[2]Memória de Cálculo'!A2409,"")</f>
        <v/>
      </c>
      <c r="B1793" s="641">
        <v>180281</v>
      </c>
      <c r="C1793" s="646" t="s">
        <v>2387</v>
      </c>
    </row>
    <row r="1794" spans="1:3" ht="15.6" hidden="1" customHeight="1">
      <c r="A1794" s="640" t="str">
        <f>IF('[2]Memória de Cálculo'!A2410&gt;0,'[2]Memória de Cálculo'!A2410,"")</f>
        <v/>
      </c>
      <c r="B1794" s="641">
        <v>180282</v>
      </c>
      <c r="C1794" s="646" t="s">
        <v>2388</v>
      </c>
    </row>
    <row r="1795" spans="1:3" ht="15.6" hidden="1" customHeight="1">
      <c r="A1795" s="640" t="str">
        <f>IF('[2]Memória de Cálculo'!A2411&gt;0,'[2]Memória de Cálculo'!A2411,"")</f>
        <v/>
      </c>
      <c r="B1795" s="641">
        <v>180302</v>
      </c>
      <c r="C1795" s="646" t="s">
        <v>2389</v>
      </c>
    </row>
    <row r="1796" spans="1:3" ht="15.6" hidden="1" customHeight="1">
      <c r="A1796" s="640" t="str">
        <f>IF('[2]Memória de Cálculo'!A2412&gt;0,'[2]Memória de Cálculo'!A2412,"")</f>
        <v/>
      </c>
      <c r="B1796" s="641">
        <v>180303</v>
      </c>
      <c r="C1796" s="646" t="s">
        <v>1645</v>
      </c>
    </row>
    <row r="1797" spans="1:3" ht="15.6" hidden="1" customHeight="1">
      <c r="A1797" s="640" t="str">
        <f>IF('[2]Memória de Cálculo'!A2413&gt;0,'[2]Memória de Cálculo'!A2413,"")</f>
        <v/>
      </c>
      <c r="B1797" s="641">
        <v>180304</v>
      </c>
      <c r="C1797" s="646" t="s">
        <v>2390</v>
      </c>
    </row>
    <row r="1798" spans="1:3" ht="15.6" hidden="1" customHeight="1">
      <c r="A1798" s="640" t="str">
        <f>IF('[2]Memória de Cálculo'!A2414&gt;0,'[2]Memória de Cálculo'!A2414,"")</f>
        <v/>
      </c>
      <c r="B1798" s="641">
        <v>180305</v>
      </c>
      <c r="C1798" s="646" t="s">
        <v>2391</v>
      </c>
    </row>
    <row r="1799" spans="1:3" ht="15.6" hidden="1" customHeight="1">
      <c r="A1799" s="640" t="str">
        <f>IF('[2]Memória de Cálculo'!A2415&gt;0,'[2]Memória de Cálculo'!A2415,"")</f>
        <v/>
      </c>
      <c r="B1799" s="641">
        <v>180307</v>
      </c>
      <c r="C1799" s="646" t="s">
        <v>2392</v>
      </c>
    </row>
    <row r="1800" spans="1:3" ht="15.6" hidden="1" customHeight="1">
      <c r="A1800" s="640" t="str">
        <f>IF('[2]Memória de Cálculo'!A2416&gt;0,'[2]Memória de Cálculo'!A2416,"")</f>
        <v/>
      </c>
      <c r="B1800" s="641">
        <v>180308</v>
      </c>
      <c r="C1800" s="646" t="s">
        <v>2393</v>
      </c>
    </row>
    <row r="1801" spans="1:3" ht="15.6" hidden="1" customHeight="1">
      <c r="A1801" s="640" t="str">
        <f>IF('[2]Memória de Cálculo'!A2417&gt;0,'[2]Memória de Cálculo'!A2417,"")</f>
        <v/>
      </c>
      <c r="B1801" s="641">
        <v>180309</v>
      </c>
      <c r="C1801" s="646" t="s">
        <v>2394</v>
      </c>
    </row>
    <row r="1802" spans="1:3" ht="15.6" hidden="1" customHeight="1">
      <c r="A1802" s="640" t="str">
        <f>IF('[2]Memória de Cálculo'!A2418&gt;0,'[2]Memória de Cálculo'!A2418,"")</f>
        <v/>
      </c>
      <c r="B1802" s="641">
        <v>180310</v>
      </c>
      <c r="C1802" s="646" t="s">
        <v>1651</v>
      </c>
    </row>
    <row r="1803" spans="1:3" ht="15.6" hidden="1" customHeight="1">
      <c r="A1803" s="640" t="str">
        <f>IF('[2]Memória de Cálculo'!A2419&gt;0,'[2]Memória de Cálculo'!A2419,"")</f>
        <v/>
      </c>
      <c r="B1803" s="641">
        <v>180311</v>
      </c>
      <c r="C1803" s="646" t="s">
        <v>1652</v>
      </c>
    </row>
    <row r="1804" spans="1:3" ht="15.6" hidden="1" customHeight="1">
      <c r="A1804" s="640" t="str">
        <f>IF('[2]Memória de Cálculo'!A2420&gt;0,'[2]Memória de Cálculo'!A2420,"")</f>
        <v/>
      </c>
      <c r="B1804" s="641">
        <v>180312</v>
      </c>
      <c r="C1804" s="646" t="s">
        <v>1653</v>
      </c>
    </row>
    <row r="1805" spans="1:3" ht="15.6" hidden="1" customHeight="1">
      <c r="A1805" s="640" t="str">
        <f>IF('[2]Memória de Cálculo'!A2421&gt;0,'[2]Memória de Cálculo'!A2421,"")</f>
        <v/>
      </c>
      <c r="B1805" s="641">
        <v>180313</v>
      </c>
      <c r="C1805" s="646" t="s">
        <v>1654</v>
      </c>
    </row>
    <row r="1806" spans="1:3" ht="15.6" hidden="1" customHeight="1">
      <c r="A1806" s="640" t="str">
        <f>IF('[2]Memória de Cálculo'!A2422&gt;0,'[2]Memória de Cálculo'!A2422,"")</f>
        <v/>
      </c>
      <c r="B1806" s="641">
        <v>180314</v>
      </c>
      <c r="C1806" s="646" t="s">
        <v>1655</v>
      </c>
    </row>
    <row r="1807" spans="1:3" ht="15.6" hidden="1" customHeight="1">
      <c r="A1807" s="640" t="str">
        <f>IF('[2]Memória de Cálculo'!A2423&gt;0,'[2]Memória de Cálculo'!A2423,"")</f>
        <v/>
      </c>
      <c r="B1807" s="641">
        <v>180315</v>
      </c>
      <c r="C1807" s="646" t="s">
        <v>1656</v>
      </c>
    </row>
    <row r="1808" spans="1:3" ht="15.6" hidden="1" customHeight="1">
      <c r="A1808" s="640" t="str">
        <f>IF('[2]Memória de Cálculo'!A2424&gt;0,'[2]Memória de Cálculo'!A2424,"")</f>
        <v/>
      </c>
      <c r="B1808" s="641">
        <v>180316</v>
      </c>
      <c r="C1808" s="646" t="s">
        <v>1657</v>
      </c>
    </row>
    <row r="1809" spans="1:3" ht="15.6" hidden="1" customHeight="1">
      <c r="A1809" s="640" t="str">
        <f>IF('[2]Memória de Cálculo'!A2425&gt;0,'[2]Memória de Cálculo'!A2425,"")</f>
        <v/>
      </c>
      <c r="B1809" s="641">
        <v>180317</v>
      </c>
      <c r="C1809" s="646" t="s">
        <v>1658</v>
      </c>
    </row>
    <row r="1810" spans="1:3" ht="15.6" hidden="1" customHeight="1">
      <c r="A1810" s="640" t="str">
        <f>IF('[2]Memória de Cálculo'!A2426&gt;0,'[2]Memória de Cálculo'!A2426,"")</f>
        <v/>
      </c>
      <c r="B1810" s="641">
        <v>180318</v>
      </c>
      <c r="C1810" s="646" t="s">
        <v>1659</v>
      </c>
    </row>
    <row r="1811" spans="1:3" ht="15.6" hidden="1" customHeight="1">
      <c r="A1811" s="640" t="str">
        <f>IF('[2]Memória de Cálculo'!A2427&gt;0,'[2]Memória de Cálculo'!A2427,"")</f>
        <v/>
      </c>
      <c r="B1811" s="641">
        <v>180320</v>
      </c>
      <c r="C1811" s="646" t="s">
        <v>1660</v>
      </c>
    </row>
    <row r="1812" spans="1:3" ht="15.6" hidden="1" customHeight="1">
      <c r="A1812" s="640" t="str">
        <f>IF('[2]Memória de Cálculo'!A2428&gt;0,'[2]Memória de Cálculo'!A2428,"")</f>
        <v/>
      </c>
      <c r="B1812" s="641">
        <v>180321</v>
      </c>
      <c r="C1812" s="646" t="s">
        <v>1661</v>
      </c>
    </row>
    <row r="1813" spans="1:3" ht="26.4" hidden="1" customHeight="1">
      <c r="A1813" s="640" t="str">
        <f>IF('[2]Memória de Cálculo'!A2429&gt;0,'[2]Memória de Cálculo'!A2429,"")</f>
        <v/>
      </c>
      <c r="B1813" s="641">
        <v>180323</v>
      </c>
      <c r="C1813" s="646" t="s">
        <v>1662</v>
      </c>
    </row>
    <row r="1814" spans="1:3" ht="26.4" hidden="1" customHeight="1">
      <c r="A1814" s="640" t="str">
        <f>IF('[2]Memória de Cálculo'!A2430&gt;0,'[2]Memória de Cálculo'!A2430,"")</f>
        <v/>
      </c>
      <c r="B1814" s="641">
        <v>180324</v>
      </c>
      <c r="C1814" s="647" t="s">
        <v>1663</v>
      </c>
    </row>
    <row r="1815" spans="1:3" ht="26.4" hidden="1" customHeight="1">
      <c r="A1815" s="640" t="str">
        <f>IF('[2]Memória de Cálculo'!A2431&gt;0,'[2]Memória de Cálculo'!A2431,"")</f>
        <v/>
      </c>
      <c r="B1815" s="641">
        <v>180325</v>
      </c>
      <c r="C1815" s="646" t="s">
        <v>1664</v>
      </c>
    </row>
    <row r="1816" spans="1:3" ht="15.6" hidden="1" customHeight="1">
      <c r="A1816" s="640" t="str">
        <f>IF('[2]Memória de Cálculo'!A2432&gt;0,'[2]Memória de Cálculo'!A2432,"")</f>
        <v/>
      </c>
      <c r="B1816" s="641">
        <v>180328</v>
      </c>
      <c r="C1816" s="646" t="s">
        <v>1665</v>
      </c>
    </row>
    <row r="1817" spans="1:3" ht="15.6" hidden="1" customHeight="1">
      <c r="A1817" s="640" t="str">
        <f>IF('[2]Memória de Cálculo'!A2433&gt;0,'[2]Memória de Cálculo'!A2433,"")</f>
        <v/>
      </c>
      <c r="B1817" s="641">
        <v>180330</v>
      </c>
      <c r="C1817" s="646" t="s">
        <v>1666</v>
      </c>
    </row>
    <row r="1818" spans="1:3" ht="15.6" hidden="1" customHeight="1">
      <c r="A1818" s="640" t="str">
        <f>IF('[2]Memória de Cálculo'!A2434&gt;0,'[2]Memória de Cálculo'!A2434,"")</f>
        <v/>
      </c>
      <c r="B1818" s="641">
        <v>180331</v>
      </c>
      <c r="C1818" s="646" t="s">
        <v>1667</v>
      </c>
    </row>
    <row r="1819" spans="1:3" ht="15.6" hidden="1" customHeight="1">
      <c r="A1819" s="640" t="str">
        <f>IF('[2]Memória de Cálculo'!A2435&gt;0,'[2]Memória de Cálculo'!A2435,"")</f>
        <v/>
      </c>
      <c r="B1819" s="641">
        <v>180380</v>
      </c>
      <c r="C1819" s="646" t="s">
        <v>2395</v>
      </c>
    </row>
    <row r="1820" spans="1:3" ht="15.6" hidden="1" customHeight="1">
      <c r="A1820" s="640" t="str">
        <f>IF('[2]Memória de Cálculo'!A2436&gt;0,'[2]Memória de Cálculo'!A2436,"")</f>
        <v/>
      </c>
      <c r="B1820" s="641">
        <v>180381</v>
      </c>
      <c r="C1820" s="646" t="s">
        <v>2396</v>
      </c>
    </row>
    <row r="1821" spans="1:3" ht="15.6" hidden="1" customHeight="1">
      <c r="A1821" s="640" t="str">
        <f>IF('[2]Memória de Cálculo'!A2437&gt;0,'[2]Memória de Cálculo'!A2437,"")</f>
        <v/>
      </c>
      <c r="B1821" s="641">
        <v>180383</v>
      </c>
      <c r="C1821" s="646" t="s">
        <v>2397</v>
      </c>
    </row>
    <row r="1822" spans="1:3" ht="15.6" hidden="1" customHeight="1">
      <c r="A1822" s="640" t="str">
        <f>IF('[2]Memória de Cálculo'!A2438&gt;0,'[2]Memória de Cálculo'!A2438,"")</f>
        <v/>
      </c>
      <c r="B1822" s="641">
        <v>180401</v>
      </c>
      <c r="C1822" s="646" t="s">
        <v>2398</v>
      </c>
    </row>
    <row r="1823" spans="1:3" ht="15.6" hidden="1" customHeight="1">
      <c r="A1823" s="640" t="str">
        <f>IF('[2]Memória de Cálculo'!A2439&gt;0,'[2]Memória de Cálculo'!A2439,"")</f>
        <v/>
      </c>
      <c r="B1823" s="641">
        <v>180402</v>
      </c>
      <c r="C1823" s="646" t="s">
        <v>2399</v>
      </c>
    </row>
    <row r="1824" spans="1:3" ht="15.6" hidden="1" customHeight="1">
      <c r="A1824" s="640" t="str">
        <f>IF('[2]Memória de Cálculo'!A2440&gt;0,'[2]Memória de Cálculo'!A2440,"")</f>
        <v/>
      </c>
      <c r="B1824" s="641">
        <v>180403</v>
      </c>
      <c r="C1824" s="646" t="s">
        <v>2400</v>
      </c>
    </row>
    <row r="1825" spans="1:3" ht="15.6" hidden="1" customHeight="1">
      <c r="A1825" s="640" t="str">
        <f>IF('[2]Memória de Cálculo'!A2441&gt;0,'[2]Memória de Cálculo'!A2441,"")</f>
        <v/>
      </c>
      <c r="B1825" s="641">
        <v>180404</v>
      </c>
      <c r="C1825" s="646" t="s">
        <v>2401</v>
      </c>
    </row>
    <row r="1826" spans="1:3" ht="15.6" hidden="1" customHeight="1">
      <c r="A1826" s="640" t="str">
        <f>IF('[2]Memória de Cálculo'!A2442&gt;0,'[2]Memória de Cálculo'!A2442,"")</f>
        <v/>
      </c>
      <c r="B1826" s="641">
        <v>180405</v>
      </c>
      <c r="C1826" s="646" t="s">
        <v>2402</v>
      </c>
    </row>
    <row r="1827" spans="1:3" ht="15.6" hidden="1" customHeight="1">
      <c r="A1827" s="640" t="str">
        <f>IF('[2]Memória de Cálculo'!A2443&gt;0,'[2]Memória de Cálculo'!A2443,"")</f>
        <v/>
      </c>
      <c r="B1827" s="641">
        <v>180406</v>
      </c>
      <c r="C1827" s="646" t="s">
        <v>2403</v>
      </c>
    </row>
    <row r="1828" spans="1:3" ht="15.6" hidden="1" customHeight="1">
      <c r="A1828" s="640" t="str">
        <f>IF('[2]Memória de Cálculo'!A2444&gt;0,'[2]Memória de Cálculo'!A2444,"")</f>
        <v/>
      </c>
      <c r="B1828" s="641">
        <v>180490</v>
      </c>
      <c r="C1828" s="646" t="s">
        <v>2404</v>
      </c>
    </row>
    <row r="1829" spans="1:3" ht="15.6" hidden="1" customHeight="1">
      <c r="A1829" s="640" t="str">
        <f>IF('[2]Memória de Cálculo'!A2445&gt;0,'[2]Memória de Cálculo'!A2445,"")</f>
        <v/>
      </c>
      <c r="B1829" s="641">
        <v>180491</v>
      </c>
      <c r="C1829" s="646" t="s">
        <v>2405</v>
      </c>
    </row>
    <row r="1830" spans="1:3" ht="15.6" hidden="1" customHeight="1">
      <c r="A1830" s="640" t="str">
        <f>IF('[2]Memória de Cálculo'!A2446&gt;0,'[2]Memória de Cálculo'!A2446,"")</f>
        <v/>
      </c>
      <c r="B1830" s="641">
        <v>180501</v>
      </c>
      <c r="C1830" s="646" t="s">
        <v>2406</v>
      </c>
    </row>
    <row r="1831" spans="1:3" ht="15.6" hidden="1" customHeight="1">
      <c r="A1831" s="640" t="str">
        <f>IF('[2]Memória de Cálculo'!A2447&gt;0,'[2]Memória de Cálculo'!A2447,"")</f>
        <v/>
      </c>
      <c r="B1831" s="641">
        <v>180502</v>
      </c>
      <c r="C1831" s="646" t="s">
        <v>2407</v>
      </c>
    </row>
    <row r="1832" spans="1:3" ht="15.6" hidden="1" customHeight="1">
      <c r="A1832" s="640" t="str">
        <f>IF('[2]Memória de Cálculo'!A2448&gt;0,'[2]Memória de Cálculo'!A2448,"")</f>
        <v/>
      </c>
      <c r="B1832" s="641">
        <v>180503</v>
      </c>
      <c r="C1832" s="646" t="s">
        <v>2408</v>
      </c>
    </row>
    <row r="1833" spans="1:3" ht="15.6" hidden="1" customHeight="1">
      <c r="A1833" s="640" t="str">
        <f>IF('[2]Memória de Cálculo'!A2449&gt;0,'[2]Memória de Cálculo'!A2449,"")</f>
        <v/>
      </c>
      <c r="B1833" s="641">
        <v>180504</v>
      </c>
      <c r="C1833" s="646" t="s">
        <v>2409</v>
      </c>
    </row>
    <row r="1834" spans="1:3" ht="15.6" hidden="1" customHeight="1">
      <c r="A1834" s="640" t="str">
        <f>IF('[2]Memória de Cálculo'!A2450&gt;0,'[2]Memória de Cálculo'!A2450,"")</f>
        <v/>
      </c>
      <c r="B1834" s="641">
        <v>180505</v>
      </c>
      <c r="C1834" s="646" t="s">
        <v>2410</v>
      </c>
    </row>
    <row r="1835" spans="1:3" ht="15.6" hidden="1" customHeight="1">
      <c r="A1835" s="640" t="str">
        <f>IF('[2]Memória de Cálculo'!A2451&gt;0,'[2]Memória de Cálculo'!A2451,"")</f>
        <v/>
      </c>
      <c r="B1835" s="641">
        <v>180506</v>
      </c>
      <c r="C1835" s="646" t="s">
        <v>2411</v>
      </c>
    </row>
    <row r="1836" spans="1:3" ht="15.6" hidden="1" customHeight="1">
      <c r="A1836" s="640" t="str">
        <f>IF('[2]Memória de Cálculo'!A2452&gt;0,'[2]Memória de Cálculo'!A2452,"")</f>
        <v/>
      </c>
      <c r="B1836" s="641">
        <v>180507</v>
      </c>
      <c r="C1836" s="646" t="s">
        <v>2412</v>
      </c>
    </row>
    <row r="1837" spans="1:3" ht="15.6" hidden="1" customHeight="1">
      <c r="A1837" s="640" t="str">
        <f>IF('[2]Memória de Cálculo'!A2453&gt;0,'[2]Memória de Cálculo'!A2453,"")</f>
        <v/>
      </c>
      <c r="B1837" s="641">
        <v>180508</v>
      </c>
      <c r="C1837" s="646" t="s">
        <v>2413</v>
      </c>
    </row>
    <row r="1838" spans="1:3" ht="15.6" hidden="1" customHeight="1">
      <c r="A1838" s="640" t="str">
        <f>IF('[2]Memória de Cálculo'!A2454&gt;0,'[2]Memória de Cálculo'!A2454,"")</f>
        <v/>
      </c>
      <c r="B1838" s="641">
        <v>180509</v>
      </c>
      <c r="C1838" s="646" t="s">
        <v>2414</v>
      </c>
    </row>
    <row r="1839" spans="1:3" ht="15.6" hidden="1" customHeight="1">
      <c r="A1839" s="640" t="str">
        <f>IF('[2]Memória de Cálculo'!A2455&gt;0,'[2]Memória de Cálculo'!A2455,"")</f>
        <v/>
      </c>
      <c r="B1839" s="641">
        <v>180510</v>
      </c>
      <c r="C1839" s="646" t="s">
        <v>1688</v>
      </c>
    </row>
    <row r="1840" spans="1:3" ht="15.6" hidden="1" customHeight="1">
      <c r="A1840" s="640" t="str">
        <f>IF('[2]Memória de Cálculo'!A2456&gt;0,'[2]Memória de Cálculo'!A2456,"")</f>
        <v/>
      </c>
      <c r="B1840" s="641">
        <v>180511</v>
      </c>
      <c r="C1840" s="646" t="s">
        <v>1689</v>
      </c>
    </row>
    <row r="1841" spans="1:3" ht="15.6" hidden="1" customHeight="1">
      <c r="A1841" s="640" t="str">
        <f>IF('[2]Memória de Cálculo'!A2457&gt;0,'[2]Memória de Cálculo'!A2457,"")</f>
        <v/>
      </c>
      <c r="B1841" s="641">
        <v>180512</v>
      </c>
      <c r="C1841" s="646" t="s">
        <v>1690</v>
      </c>
    </row>
    <row r="1842" spans="1:3" ht="15.6" hidden="1" customHeight="1">
      <c r="A1842" s="640" t="str">
        <f>IF('[2]Memória de Cálculo'!A2458&gt;0,'[2]Memória de Cálculo'!A2458,"")</f>
        <v/>
      </c>
      <c r="B1842" s="641">
        <v>180515</v>
      </c>
      <c r="C1842" s="646" t="s">
        <v>2415</v>
      </c>
    </row>
    <row r="1843" spans="1:3" ht="15.6" hidden="1" customHeight="1">
      <c r="A1843" s="640" t="str">
        <f>IF('[2]Memória de Cálculo'!A2459&gt;0,'[2]Memória de Cálculo'!A2459,"")</f>
        <v/>
      </c>
      <c r="B1843" s="641">
        <v>180701</v>
      </c>
      <c r="C1843" s="646" t="s">
        <v>1692</v>
      </c>
    </row>
    <row r="1844" spans="1:3" ht="15.6" hidden="1" customHeight="1">
      <c r="A1844" s="640" t="str">
        <f>IF('[2]Memória de Cálculo'!A2460&gt;0,'[2]Memória de Cálculo'!A2460,"")</f>
        <v/>
      </c>
      <c r="B1844" s="641">
        <v>180703</v>
      </c>
      <c r="C1844" s="646" t="s">
        <v>1693</v>
      </c>
    </row>
    <row r="1845" spans="1:3" ht="15.6" hidden="1" customHeight="1">
      <c r="A1845" s="640" t="str">
        <f>IF('[2]Memória de Cálculo'!A2461&gt;0,'[2]Memória de Cálculo'!A2461,"")</f>
        <v/>
      </c>
      <c r="B1845" s="641">
        <v>180708</v>
      </c>
      <c r="C1845" s="646" t="s">
        <v>1694</v>
      </c>
    </row>
    <row r="1846" spans="1:3" ht="26.4" hidden="1" customHeight="1">
      <c r="A1846" s="640" t="str">
        <f>IF('[2]Memória de Cálculo'!A2462&gt;0,'[2]Memória de Cálculo'!A2462,"")</f>
        <v>10.1</v>
      </c>
      <c r="B1846" s="641">
        <v>180710</v>
      </c>
      <c r="C1846" s="646" t="s">
        <v>1695</v>
      </c>
    </row>
    <row r="1847" spans="1:3" ht="15.6" hidden="1" customHeight="1">
      <c r="A1847" s="637"/>
      <c r="B1847" s="638">
        <v>190000</v>
      </c>
      <c r="C1847" s="639" t="s">
        <v>1696</v>
      </c>
    </row>
    <row r="1848" spans="1:3" ht="15.6" hidden="1" customHeight="1">
      <c r="A1848" s="640" t="str">
        <f>IF('[2]Memória de Cálculo'!A2487&gt;0,'[2]Memória de Cálculo'!A2487,"")</f>
        <v/>
      </c>
      <c r="B1848" s="641">
        <v>190101</v>
      </c>
      <c r="C1848" s="646" t="s">
        <v>1697</v>
      </c>
    </row>
    <row r="1849" spans="1:3" ht="15.6" hidden="1" customHeight="1">
      <c r="A1849" s="640" t="str">
        <f>IF('[2]Memória de Cálculo'!A2488&gt;0,'[2]Memória de Cálculo'!A2488,"")</f>
        <v/>
      </c>
      <c r="B1849" s="641">
        <v>190102</v>
      </c>
      <c r="C1849" s="646" t="s">
        <v>1698</v>
      </c>
    </row>
    <row r="1850" spans="1:3" ht="15.6" hidden="1" customHeight="1">
      <c r="A1850" s="640" t="str">
        <f>IF('[2]Memória de Cálculo'!A2489&gt;0,'[2]Memória de Cálculo'!A2489,"")</f>
        <v/>
      </c>
      <c r="B1850" s="641">
        <v>190103</v>
      </c>
      <c r="C1850" s="646" t="s">
        <v>1699</v>
      </c>
    </row>
    <row r="1851" spans="1:3" ht="15.6" hidden="1" customHeight="1">
      <c r="A1851" s="640" t="str">
        <f>IF('[2]Memória de Cálculo'!A2490&gt;0,'[2]Memória de Cálculo'!A2490,"")</f>
        <v/>
      </c>
      <c r="B1851" s="641">
        <v>190104</v>
      </c>
      <c r="C1851" s="646" t="s">
        <v>1700</v>
      </c>
    </row>
    <row r="1852" spans="1:3" ht="15.6" hidden="1" customHeight="1">
      <c r="A1852" s="640" t="str">
        <f>IF('[2]Memória de Cálculo'!A2491&gt;0,'[2]Memória de Cálculo'!A2491,"")</f>
        <v/>
      </c>
      <c r="B1852" s="641">
        <v>190105</v>
      </c>
      <c r="C1852" s="646" t="s">
        <v>1701</v>
      </c>
    </row>
    <row r="1853" spans="1:3" ht="15.6" hidden="1" customHeight="1">
      <c r="A1853" s="640" t="str">
        <f>IF('[2]Memória de Cálculo'!A2492&gt;0,'[2]Memória de Cálculo'!A2492,"")</f>
        <v/>
      </c>
      <c r="B1853" s="641">
        <v>190106</v>
      </c>
      <c r="C1853" s="646" t="s">
        <v>1702</v>
      </c>
    </row>
    <row r="1854" spans="1:3" ht="15.6" hidden="1" customHeight="1">
      <c r="A1854" s="640"/>
      <c r="B1854" s="641">
        <v>190107</v>
      </c>
      <c r="C1854" s="646" t="s">
        <v>2416</v>
      </c>
    </row>
    <row r="1855" spans="1:3" ht="15.6" hidden="1" customHeight="1">
      <c r="A1855" s="640" t="str">
        <f>IF('[2]Memória de Cálculo'!A2493&gt;0,'[2]Memória de Cálculo'!A2493,"")</f>
        <v/>
      </c>
      <c r="B1855" s="641">
        <v>190108</v>
      </c>
      <c r="C1855" s="646" t="s">
        <v>1703</v>
      </c>
    </row>
    <row r="1856" spans="1:3" ht="15.6" hidden="1" customHeight="1">
      <c r="A1856" s="640" t="str">
        <f>IF('[2]Memória de Cálculo'!A2494&gt;0,'[2]Memória de Cálculo'!A2494,"")</f>
        <v/>
      </c>
      <c r="B1856" s="641">
        <v>190109</v>
      </c>
      <c r="C1856" s="646" t="s">
        <v>1704</v>
      </c>
    </row>
    <row r="1857" spans="1:3" ht="15.6" hidden="1" customHeight="1">
      <c r="A1857" s="640" t="str">
        <f>IF('[2]Memória de Cálculo'!A2495&gt;0,'[2]Memória de Cálculo'!A2495,"")</f>
        <v/>
      </c>
      <c r="B1857" s="641">
        <v>190201</v>
      </c>
      <c r="C1857" s="646" t="s">
        <v>1705</v>
      </c>
    </row>
    <row r="1858" spans="1:3" ht="15.6" hidden="1" customHeight="1">
      <c r="A1858" s="640" t="str">
        <f>IF('[2]Memória de Cálculo'!A2496&gt;0,'[2]Memória de Cálculo'!A2496,"")</f>
        <v/>
      </c>
      <c r="B1858" s="641">
        <v>190202</v>
      </c>
      <c r="C1858" s="646" t="s">
        <v>1706</v>
      </c>
    </row>
    <row r="1859" spans="1:3" ht="15.6" hidden="1" customHeight="1">
      <c r="A1859" s="640" t="str">
        <f>IF('[2]Memória de Cálculo'!A2497&gt;0,'[2]Memória de Cálculo'!A2497,"")</f>
        <v/>
      </c>
      <c r="B1859" s="641">
        <v>190301</v>
      </c>
      <c r="C1859" s="646" t="s">
        <v>1707</v>
      </c>
    </row>
    <row r="1860" spans="1:3" ht="15.6" hidden="1" customHeight="1">
      <c r="A1860" s="640">
        <f>IF('[2]Memória de Cálculo'!A2498&gt;0,'[2]Memória de Cálculo'!A2498,"")</f>
        <v>11</v>
      </c>
      <c r="B1860" s="641">
        <v>190401</v>
      </c>
      <c r="C1860" s="646" t="s">
        <v>1708</v>
      </c>
    </row>
    <row r="1861" spans="1:3" ht="26.4">
      <c r="A1861" s="648" t="s">
        <v>3978</v>
      </c>
      <c r="B1861" s="644" t="s">
        <v>2591</v>
      </c>
      <c r="C1861" s="645" t="s">
        <v>2861</v>
      </c>
    </row>
    <row r="1862" spans="1:3" ht="26.4">
      <c r="A1862" s="648" t="s">
        <v>3979</v>
      </c>
      <c r="B1862" s="644" t="s">
        <v>2592</v>
      </c>
      <c r="C1862" s="645" t="s">
        <v>2862</v>
      </c>
    </row>
    <row r="1863" spans="1:3" ht="26.4">
      <c r="A1863" s="648" t="s">
        <v>3980</v>
      </c>
      <c r="B1863" s="644" t="s">
        <v>2593</v>
      </c>
      <c r="C1863" s="645" t="s">
        <v>2863</v>
      </c>
    </row>
    <row r="1864" spans="1:3" ht="66">
      <c r="A1864" s="648"/>
      <c r="B1864" s="644"/>
      <c r="C1864" s="645" t="s">
        <v>4049</v>
      </c>
    </row>
    <row r="1865" spans="1:3">
      <c r="A1865" s="656"/>
      <c r="B1865" s="656"/>
      <c r="C1865" s="656"/>
    </row>
    <row r="1866" spans="1:3" ht="15.6">
      <c r="A1866" s="637">
        <v>11</v>
      </c>
      <c r="B1866" s="638">
        <v>200000</v>
      </c>
      <c r="C1866" s="639" t="s">
        <v>1709</v>
      </c>
    </row>
    <row r="1867" spans="1:3">
      <c r="A1867" s="640" t="s">
        <v>3646</v>
      </c>
      <c r="B1867" s="641">
        <v>200101</v>
      </c>
      <c r="C1867" s="646" t="s">
        <v>1710</v>
      </c>
    </row>
    <row r="1868" spans="1:3" ht="15.6" hidden="1" customHeight="1">
      <c r="A1868" s="640" t="str">
        <f>IF('[2]Memória de Cálculo'!A2512&gt;0,'[2]Memória de Cálculo'!A2512,"")</f>
        <v>11.2</v>
      </c>
      <c r="B1868" s="641">
        <v>200102</v>
      </c>
      <c r="C1868" s="646" t="s">
        <v>1711</v>
      </c>
    </row>
    <row r="1869" spans="1:3" ht="132">
      <c r="A1869" s="640"/>
      <c r="B1869" s="641"/>
      <c r="C1869" s="646" t="s">
        <v>4050</v>
      </c>
    </row>
    <row r="1870" spans="1:3">
      <c r="A1870" s="656"/>
      <c r="B1870" s="656"/>
      <c r="C1870" s="656"/>
    </row>
    <row r="1871" spans="1:3">
      <c r="A1871" s="640" t="s">
        <v>2833</v>
      </c>
      <c r="B1871" s="641">
        <v>200103</v>
      </c>
      <c r="C1871" s="646" t="s">
        <v>1712</v>
      </c>
    </row>
    <row r="1872" spans="1:3" ht="15.6" hidden="1" customHeight="1">
      <c r="A1872" s="640" t="str">
        <f>IF('[2]Memória de Cálculo'!A2521&gt;0,'[2]Memória de Cálculo'!A2521,"")</f>
        <v/>
      </c>
      <c r="B1872" s="641">
        <v>200104</v>
      </c>
      <c r="C1872" s="646" t="s">
        <v>1713</v>
      </c>
    </row>
    <row r="1873" spans="1:3" ht="15.6" hidden="1" customHeight="1">
      <c r="A1873" s="640" t="str">
        <f>IF('[2]Memória de Cálculo'!A2522&gt;0,'[2]Memória de Cálculo'!A2522,"")</f>
        <v/>
      </c>
      <c r="B1873" s="641">
        <v>200105</v>
      </c>
      <c r="C1873" s="646" t="s">
        <v>1714</v>
      </c>
    </row>
    <row r="1874" spans="1:3" ht="15.6" hidden="1" customHeight="1">
      <c r="A1874" s="640" t="str">
        <f>IF('[2]Memória de Cálculo'!A2523&gt;0,'[2]Memória de Cálculo'!A2523,"")</f>
        <v/>
      </c>
      <c r="B1874" s="641">
        <v>200140</v>
      </c>
      <c r="C1874" s="646" t="s">
        <v>1715</v>
      </c>
    </row>
    <row r="1875" spans="1:3" ht="15.6" hidden="1" customHeight="1">
      <c r="A1875" s="640" t="str">
        <f>IF('[2]Memória de Cálculo'!A2524&gt;0,'[2]Memória de Cálculo'!A2524,"")</f>
        <v/>
      </c>
      <c r="B1875" s="641">
        <v>200145</v>
      </c>
      <c r="C1875" s="646" t="s">
        <v>1716</v>
      </c>
    </row>
    <row r="1876" spans="1:3" ht="15.6" hidden="1" customHeight="1">
      <c r="A1876" s="640" t="str">
        <f>IF('[2]Memória de Cálculo'!A2525&gt;0,'[2]Memória de Cálculo'!A2525,"")</f>
        <v/>
      </c>
      <c r="B1876" s="641">
        <v>200150</v>
      </c>
      <c r="C1876" s="646" t="s">
        <v>1717</v>
      </c>
    </row>
    <row r="1877" spans="1:3" ht="15.6" hidden="1" customHeight="1">
      <c r="A1877" s="640" t="str">
        <f>IF('[2]Memória de Cálculo'!A2526&gt;0,'[2]Memória de Cálculo'!A2526,"")</f>
        <v/>
      </c>
      <c r="B1877" s="641">
        <v>200200</v>
      </c>
      <c r="C1877" s="646" t="s">
        <v>1718</v>
      </c>
    </row>
    <row r="1878" spans="1:3" ht="15.6" hidden="1" customHeight="1">
      <c r="A1878" s="640" t="str">
        <f>IF('[2]Memória de Cálculo'!A2527&gt;0,'[2]Memória de Cálculo'!A2527,"")</f>
        <v/>
      </c>
      <c r="B1878" s="641">
        <v>200201</v>
      </c>
      <c r="C1878" s="646" t="s">
        <v>1719</v>
      </c>
    </row>
    <row r="1879" spans="1:3" ht="15.6" hidden="1" customHeight="1">
      <c r="A1879" s="640" t="str">
        <f>IF('[2]Memória de Cálculo'!A2528&gt;0,'[2]Memória de Cálculo'!A2528,"")</f>
        <v>11.3</v>
      </c>
      <c r="B1879" s="641">
        <v>200403</v>
      </c>
      <c r="C1879" s="646" t="s">
        <v>1720</v>
      </c>
    </row>
    <row r="1880" spans="1:3" ht="39.6">
      <c r="A1880" s="640"/>
      <c r="B1880" s="641"/>
      <c r="C1880" s="646" t="s">
        <v>4051</v>
      </c>
    </row>
    <row r="1881" spans="1:3">
      <c r="A1881" s="656"/>
      <c r="B1881" s="656"/>
      <c r="C1881" s="656"/>
    </row>
    <row r="1882" spans="1:3">
      <c r="A1882" s="640" t="s">
        <v>3647</v>
      </c>
      <c r="B1882" s="641">
        <v>200499</v>
      </c>
      <c r="C1882" s="646" t="s">
        <v>1721</v>
      </c>
    </row>
    <row r="1883" spans="1:3" ht="66">
      <c r="A1883" s="640"/>
      <c r="B1883" s="641"/>
      <c r="C1883" s="646" t="s">
        <v>4052</v>
      </c>
    </row>
    <row r="1884" spans="1:3">
      <c r="A1884" s="656"/>
      <c r="B1884" s="656"/>
      <c r="C1884" s="656"/>
    </row>
    <row r="1885" spans="1:3">
      <c r="A1885" s="648" t="s">
        <v>3841</v>
      </c>
      <c r="B1885" s="644" t="s">
        <v>3768</v>
      </c>
      <c r="C1885" s="645" t="s">
        <v>3052</v>
      </c>
    </row>
    <row r="1886" spans="1:3" ht="15.6" hidden="1" customHeight="1">
      <c r="A1886" s="640" t="str">
        <f>IF('[2]Memória de Cálculo'!A2561&gt;0,'[2]Memória de Cálculo'!A2561,"")</f>
        <v/>
      </c>
      <c r="B1886" s="641">
        <v>200500</v>
      </c>
      <c r="C1886" s="646" t="s">
        <v>1722</v>
      </c>
    </row>
    <row r="1887" spans="1:3" ht="15.6" hidden="1" customHeight="1">
      <c r="A1887" s="640" t="str">
        <f>IF('[2]Memória de Cálculo'!A2562&gt;0,'[2]Memória de Cálculo'!A2562,"")</f>
        <v/>
      </c>
      <c r="B1887" s="641">
        <v>200502</v>
      </c>
      <c r="C1887" s="646" t="s">
        <v>1723</v>
      </c>
    </row>
    <row r="1888" spans="1:3" ht="15.6" hidden="1" customHeight="1">
      <c r="A1888" s="640" t="str">
        <f>IF('[2]Memória de Cálculo'!A2563&gt;0,'[2]Memória de Cálculo'!A2563,"")</f>
        <v/>
      </c>
      <c r="B1888" s="641">
        <v>200503</v>
      </c>
      <c r="C1888" s="646" t="s">
        <v>1724</v>
      </c>
    </row>
    <row r="1889" spans="1:3" ht="15.6" hidden="1" customHeight="1">
      <c r="A1889" s="640" t="str">
        <f>IF('[2]Memória de Cálculo'!A2564&gt;0,'[2]Memória de Cálculo'!A2564,"")</f>
        <v/>
      </c>
      <c r="B1889" s="641">
        <v>200504</v>
      </c>
      <c r="C1889" s="646" t="s">
        <v>1725</v>
      </c>
    </row>
    <row r="1890" spans="1:3" ht="15.6" hidden="1" customHeight="1">
      <c r="A1890" s="640" t="str">
        <f>IF('[2]Memória de Cálculo'!A2565&gt;0,'[2]Memória de Cálculo'!A2565,"")</f>
        <v/>
      </c>
      <c r="B1890" s="641">
        <v>200505</v>
      </c>
      <c r="C1890" s="646" t="s">
        <v>2417</v>
      </c>
    </row>
    <row r="1891" spans="1:3" ht="15.6" hidden="1" customHeight="1">
      <c r="A1891" s="640" t="str">
        <f>IF('[2]Memória de Cálculo'!A2566&gt;0,'[2]Memória de Cálculo'!A2566,"")</f>
        <v/>
      </c>
      <c r="B1891" s="641">
        <v>200506</v>
      </c>
      <c r="C1891" s="646" t="s">
        <v>1727</v>
      </c>
    </row>
    <row r="1892" spans="1:3" ht="15.6" hidden="1" customHeight="1">
      <c r="A1892" s="640"/>
      <c r="B1892" s="641">
        <v>201001</v>
      </c>
      <c r="C1892" s="646" t="s">
        <v>2418</v>
      </c>
    </row>
    <row r="1893" spans="1:3" ht="15.6" hidden="1" customHeight="1">
      <c r="A1893" s="640" t="str">
        <f>IF('[2]Memória de Cálculo'!A2567&gt;0,'[2]Memória de Cálculo'!A2567,"")</f>
        <v/>
      </c>
      <c r="B1893" s="641">
        <v>201002</v>
      </c>
      <c r="C1893" s="646" t="s">
        <v>1728</v>
      </c>
    </row>
    <row r="1894" spans="1:3" ht="15.6" hidden="1" customHeight="1">
      <c r="A1894" s="640" t="str">
        <f>IF('[2]Memória de Cálculo'!A2568&gt;0,'[2]Memória de Cálculo'!A2568,"")</f>
        <v/>
      </c>
      <c r="B1894" s="641">
        <v>201003</v>
      </c>
      <c r="C1894" s="646" t="s">
        <v>1729</v>
      </c>
    </row>
    <row r="1895" spans="1:3" ht="15.6" hidden="1" customHeight="1">
      <c r="A1895" s="640" t="str">
        <f>IF('[2]Memória de Cálculo'!A2569&gt;0,'[2]Memória de Cálculo'!A2569,"")</f>
        <v/>
      </c>
      <c r="B1895" s="641">
        <v>201201</v>
      </c>
      <c r="C1895" s="646" t="s">
        <v>1730</v>
      </c>
    </row>
    <row r="1896" spans="1:3" ht="15.6" hidden="1" customHeight="1">
      <c r="A1896" s="640" t="str">
        <f>IF('[2]Memória de Cálculo'!A2570&gt;0,'[2]Memória de Cálculo'!A2570,"")</f>
        <v/>
      </c>
      <c r="B1896" s="641">
        <v>201202</v>
      </c>
      <c r="C1896" s="646" t="s">
        <v>1731</v>
      </c>
    </row>
    <row r="1897" spans="1:3" ht="15.6" hidden="1" customHeight="1">
      <c r="A1897" s="640" t="str">
        <f>IF('[2]Memória de Cálculo'!A2571&gt;0,'[2]Memória de Cálculo'!A2571,"")</f>
        <v/>
      </c>
      <c r="B1897" s="641">
        <v>201302</v>
      </c>
      <c r="C1897" s="646" t="s">
        <v>1732</v>
      </c>
    </row>
    <row r="1898" spans="1:3" ht="15.6" hidden="1" customHeight="1">
      <c r="A1898" s="640" t="str">
        <f>IF('[2]Memória de Cálculo'!A2572&gt;0,'[2]Memória de Cálculo'!A2572,"")</f>
        <v/>
      </c>
      <c r="B1898" s="641">
        <v>201304</v>
      </c>
      <c r="C1898" s="646" t="s">
        <v>1733</v>
      </c>
    </row>
    <row r="1899" spans="1:3" ht="15.6" hidden="1" customHeight="1">
      <c r="A1899" s="640" t="str">
        <f>IF('[2]Memória de Cálculo'!A2573&gt;0,'[2]Memória de Cálculo'!A2573,"")</f>
        <v/>
      </c>
      <c r="B1899" s="641">
        <v>201305</v>
      </c>
      <c r="C1899" s="646" t="s">
        <v>1734</v>
      </c>
    </row>
    <row r="1900" spans="1:3" ht="15.6" hidden="1" customHeight="1">
      <c r="A1900" s="640" t="str">
        <f>IF('[2]Memória de Cálculo'!A2574&gt;0,'[2]Memória de Cálculo'!A2574,"")</f>
        <v/>
      </c>
      <c r="B1900" s="641">
        <v>201306</v>
      </c>
      <c r="C1900" s="646" t="s">
        <v>1735</v>
      </c>
    </row>
    <row r="1901" spans="1:3" ht="15.6" hidden="1" customHeight="1">
      <c r="A1901" s="640" t="str">
        <f>IF('[2]Memória de Cálculo'!A2575&gt;0,'[2]Memória de Cálculo'!A2575,"")</f>
        <v/>
      </c>
      <c r="B1901" s="641">
        <v>201371</v>
      </c>
      <c r="C1901" s="646" t="s">
        <v>1736</v>
      </c>
    </row>
    <row r="1902" spans="1:3" ht="15.6" hidden="1" customHeight="1">
      <c r="A1902" s="640" t="str">
        <f>IF('[2]Memória de Cálculo'!A2576&gt;0,'[2]Memória de Cálculo'!A2576,"")</f>
        <v/>
      </c>
      <c r="B1902" s="641">
        <v>201401</v>
      </c>
      <c r="C1902" s="646" t="s">
        <v>1737</v>
      </c>
    </row>
    <row r="1903" spans="1:3" ht="15.6" hidden="1" customHeight="1">
      <c r="A1903" s="640" t="str">
        <f>IF('[2]Memória de Cálculo'!A2577&gt;0,'[2]Memória de Cálculo'!A2577,"")</f>
        <v/>
      </c>
      <c r="B1903" s="641">
        <v>201402</v>
      </c>
      <c r="C1903" s="646" t="s">
        <v>1738</v>
      </c>
    </row>
    <row r="1904" spans="1:3" ht="26.4" hidden="1" customHeight="1">
      <c r="A1904" s="640" t="str">
        <f>IF('[2]Memória de Cálculo'!A2578&gt;0,'[2]Memória de Cálculo'!A2578,"")</f>
        <v/>
      </c>
      <c r="B1904" s="641">
        <v>201410</v>
      </c>
      <c r="C1904" s="646" t="s">
        <v>1739</v>
      </c>
    </row>
    <row r="1905" spans="1:3" ht="39.6">
      <c r="A1905" s="640"/>
      <c r="B1905" s="641"/>
      <c r="C1905" s="646" t="s">
        <v>4053</v>
      </c>
    </row>
    <row r="1906" spans="1:3">
      <c r="A1906" s="656"/>
      <c r="B1906" s="656"/>
      <c r="C1906" s="656"/>
    </row>
    <row r="1907" spans="1:3" s="1" customFormat="1" ht="15.6">
      <c r="A1907" s="637">
        <v>12</v>
      </c>
      <c r="B1907" s="638">
        <v>210000</v>
      </c>
      <c r="C1907" s="639" t="s">
        <v>1740</v>
      </c>
    </row>
    <row r="1908" spans="1:3" ht="15.6" hidden="1" customHeight="1">
      <c r="A1908" s="640" t="str">
        <f>IF('[2]Memória de Cálculo'!A2588&gt;0,'[2]Memória de Cálculo'!A2588,"")</f>
        <v/>
      </c>
      <c r="B1908" s="641">
        <v>210101</v>
      </c>
      <c r="C1908" s="646" t="s">
        <v>1741</v>
      </c>
    </row>
    <row r="1909" spans="1:3" ht="15.6" hidden="1" customHeight="1">
      <c r="A1909" s="640" t="str">
        <f>IF('[2]Memória de Cálculo'!A2589&gt;0,'[2]Memória de Cálculo'!A2589,"")</f>
        <v/>
      </c>
      <c r="B1909" s="641">
        <v>210102</v>
      </c>
      <c r="C1909" s="646" t="s">
        <v>2419</v>
      </c>
    </row>
    <row r="1910" spans="1:3" ht="15.6" hidden="1" customHeight="1">
      <c r="A1910" s="640" t="str">
        <f>IF('[2]Memória de Cálculo'!A2590&gt;0,'[2]Memória de Cálculo'!A2590,"")</f>
        <v/>
      </c>
      <c r="B1910" s="641">
        <v>210201</v>
      </c>
      <c r="C1910" s="646" t="s">
        <v>1743</v>
      </c>
    </row>
    <row r="1911" spans="1:3" ht="15.6" hidden="1" customHeight="1">
      <c r="A1911" s="640" t="str">
        <f>IF('[2]Memória de Cálculo'!A2591&gt;0,'[2]Memória de Cálculo'!A2591,"")</f>
        <v/>
      </c>
      <c r="B1911" s="641">
        <v>210301</v>
      </c>
      <c r="C1911" s="646" t="s">
        <v>1744</v>
      </c>
    </row>
    <row r="1912" spans="1:3" ht="15.6" hidden="1" customHeight="1">
      <c r="A1912" s="640" t="str">
        <f>IF('[2]Memória de Cálculo'!A2592&gt;0,'[2]Memória de Cálculo'!A2592,"")</f>
        <v/>
      </c>
      <c r="B1912" s="641">
        <v>210401</v>
      </c>
      <c r="C1912" s="646" t="s">
        <v>1745</v>
      </c>
    </row>
    <row r="1913" spans="1:3" ht="15.6" hidden="1" customHeight="1">
      <c r="A1913" s="640" t="str">
        <f>IF('[2]Memória de Cálculo'!A2593&gt;0,'[2]Memória de Cálculo'!A2593,"")</f>
        <v/>
      </c>
      <c r="B1913" s="641">
        <v>210460</v>
      </c>
      <c r="C1913" s="646" t="s">
        <v>1746</v>
      </c>
    </row>
    <row r="1914" spans="1:3" ht="26.4" hidden="1" customHeight="1">
      <c r="A1914" s="640" t="str">
        <f>IF('[2]Memória de Cálculo'!A2594&gt;0,'[2]Memória de Cálculo'!A2594,"")</f>
        <v>12.1</v>
      </c>
      <c r="B1914" s="641">
        <v>210461</v>
      </c>
      <c r="C1914" s="646" t="s">
        <v>1747</v>
      </c>
    </row>
    <row r="1915" spans="1:3">
      <c r="A1915" s="640" t="s">
        <v>3648</v>
      </c>
      <c r="B1915" s="641">
        <v>210498</v>
      </c>
      <c r="C1915" s="646" t="s">
        <v>1748</v>
      </c>
    </row>
    <row r="1916" spans="1:3">
      <c r="A1916" s="640" t="s">
        <v>3649</v>
      </c>
      <c r="B1916" s="641">
        <v>210499</v>
      </c>
      <c r="C1916" s="646" t="s">
        <v>1749</v>
      </c>
    </row>
    <row r="1917" spans="1:3" ht="15.6" hidden="1" customHeight="1">
      <c r="A1917" s="640" t="str">
        <f>IF('[2]Memória de Cálculo'!A2617&gt;0,'[2]Memória de Cálculo'!A2617,"")</f>
        <v/>
      </c>
      <c r="B1917" s="641">
        <v>210501</v>
      </c>
      <c r="C1917" s="646" t="s">
        <v>1750</v>
      </c>
    </row>
    <row r="1918" spans="1:3" ht="15.6" hidden="1" customHeight="1">
      <c r="A1918" s="640" t="str">
        <f>IF('[2]Memória de Cálculo'!A2618&gt;0,'[2]Memória de Cálculo'!A2618,"")</f>
        <v>12.3</v>
      </c>
      <c r="B1918" s="641">
        <v>210505</v>
      </c>
      <c r="C1918" s="646" t="s">
        <v>1751</v>
      </c>
    </row>
    <row r="1919" spans="1:3">
      <c r="A1919" s="640" t="s">
        <v>3650</v>
      </c>
      <c r="B1919" s="641">
        <v>210506</v>
      </c>
      <c r="C1919" s="646" t="s">
        <v>1752</v>
      </c>
    </row>
    <row r="1920" spans="1:3" ht="66">
      <c r="A1920" s="640"/>
      <c r="B1920" s="641"/>
      <c r="C1920" s="646" t="s">
        <v>4054</v>
      </c>
    </row>
    <row r="1921" spans="1:3" ht="15.6" hidden="1" customHeight="1">
      <c r="A1921" s="640" t="str">
        <f>IF('[2]Memória de Cálculo'!A2638&gt;0,'[2]Memória de Cálculo'!A2638,"")</f>
        <v/>
      </c>
      <c r="B1921" s="641">
        <v>210515</v>
      </c>
      <c r="C1921" s="646" t="s">
        <v>1753</v>
      </c>
    </row>
    <row r="1922" spans="1:3" ht="15.6" hidden="1" customHeight="1">
      <c r="A1922" s="640">
        <f>IF('[2]Memória de Cálculo'!A2639&gt;0,'[2]Memória de Cálculo'!A2639,"")</f>
        <v>13</v>
      </c>
      <c r="B1922" s="641">
        <v>210702</v>
      </c>
      <c r="C1922" s="646" t="s">
        <v>1754</v>
      </c>
    </row>
    <row r="1923" spans="1:3">
      <c r="A1923" s="656"/>
      <c r="B1923" s="656"/>
      <c r="C1923" s="656"/>
    </row>
    <row r="1924" spans="1:3" ht="15.6">
      <c r="A1924" s="637">
        <v>13</v>
      </c>
      <c r="B1924" s="638">
        <v>220000</v>
      </c>
      <c r="C1924" s="639" t="s">
        <v>1755</v>
      </c>
    </row>
    <row r="1925" spans="1:3" ht="15.6" hidden="1" customHeight="1">
      <c r="A1925" s="640" t="str">
        <f>IF('[2]Memória de Cálculo'!A2641&gt;0,'[2]Memória de Cálculo'!A2641,"")</f>
        <v/>
      </c>
      <c r="B1925" s="641">
        <v>220001</v>
      </c>
      <c r="C1925" s="646" t="s">
        <v>1756</v>
      </c>
    </row>
    <row r="1926" spans="1:3" ht="15.6" hidden="1" customHeight="1">
      <c r="A1926" s="640" t="str">
        <f>IF('[2]Memória de Cálculo'!A2642&gt;0,'[2]Memória de Cálculo'!A2642,"")</f>
        <v/>
      </c>
      <c r="B1926" s="641">
        <v>220050</v>
      </c>
      <c r="C1926" s="646" t="s">
        <v>1757</v>
      </c>
    </row>
    <row r="1927" spans="1:3" ht="15.6" hidden="1" customHeight="1">
      <c r="A1927" s="640" t="str">
        <f>IF('[2]Memória de Cálculo'!A2643&gt;0,'[2]Memória de Cálculo'!A2643,"")</f>
        <v/>
      </c>
      <c r="B1927" s="641">
        <v>220053</v>
      </c>
      <c r="C1927" s="646" t="s">
        <v>1758</v>
      </c>
    </row>
    <row r="1928" spans="1:3" ht="15.6" hidden="1" customHeight="1">
      <c r="A1928" s="640" t="str">
        <f>IF('[2]Memória de Cálculo'!A2644&gt;0,'[2]Memória de Cálculo'!A2644,"")</f>
        <v/>
      </c>
      <c r="B1928" s="641">
        <v>220058</v>
      </c>
      <c r="C1928" s="646" t="s">
        <v>1759</v>
      </c>
    </row>
    <row r="1929" spans="1:3" ht="15.6" hidden="1" customHeight="1">
      <c r="A1929" s="640" t="str">
        <f>IF('[2]Memória de Cálculo'!A2645&gt;0,'[2]Memória de Cálculo'!A2645,"")</f>
        <v/>
      </c>
      <c r="B1929" s="641">
        <v>220059</v>
      </c>
      <c r="C1929" s="646" t="s">
        <v>1760</v>
      </c>
    </row>
    <row r="1930" spans="1:3" ht="14.4" hidden="1" customHeight="1">
      <c r="A1930" s="640" t="str">
        <f>IF('[2]Memória de Cálculo'!A2646&gt;0,'[2]Memória de Cálculo'!A2646,"")</f>
        <v/>
      </c>
      <c r="B1930" s="641">
        <v>220060</v>
      </c>
      <c r="C1930" s="646" t="s">
        <v>1761</v>
      </c>
    </row>
    <row r="1931" spans="1:3" ht="15.6" hidden="1" customHeight="1">
      <c r="A1931" s="640" t="str">
        <f>IF('[2]Memória de Cálculo'!A2647&gt;0,'[2]Memória de Cálculo'!A2647,"")</f>
        <v/>
      </c>
      <c r="B1931" s="641">
        <v>220061</v>
      </c>
      <c r="C1931" s="646" t="s">
        <v>1762</v>
      </c>
    </row>
    <row r="1932" spans="1:3" ht="26.4" hidden="1" customHeight="1">
      <c r="A1932" s="640" t="str">
        <f>IF('[2]Memória de Cálculo'!A2648&gt;0,'[2]Memória de Cálculo'!A2648,"")</f>
        <v>13.1</v>
      </c>
      <c r="B1932" s="641">
        <v>220100</v>
      </c>
      <c r="C1932" s="646" t="s">
        <v>2420</v>
      </c>
    </row>
    <row r="1933" spans="1:3">
      <c r="A1933" s="640" t="s">
        <v>3651</v>
      </c>
      <c r="B1933" s="641">
        <v>220101</v>
      </c>
      <c r="C1933" s="646" t="s">
        <v>1764</v>
      </c>
    </row>
    <row r="1934" spans="1:3" ht="15.6" hidden="1" customHeight="1">
      <c r="A1934" s="640" t="str">
        <f>IF('[2]Memória de Cálculo'!A2652&gt;0,'[2]Memória de Cálculo'!A2652,"")</f>
        <v/>
      </c>
      <c r="B1934" s="641">
        <v>220102</v>
      </c>
      <c r="C1934" s="646" t="s">
        <v>1765</v>
      </c>
    </row>
    <row r="1935" spans="1:3" ht="15.6" hidden="1" customHeight="1">
      <c r="A1935" s="640" t="str">
        <f>IF('[2]Memória de Cálculo'!A2653&gt;0,'[2]Memória de Cálculo'!A2653,"")</f>
        <v>13.2</v>
      </c>
      <c r="B1935" s="641">
        <v>220103</v>
      </c>
      <c r="C1935" s="646" t="s">
        <v>2421</v>
      </c>
    </row>
    <row r="1936" spans="1:3">
      <c r="A1936" s="640" t="s">
        <v>3842</v>
      </c>
      <c r="B1936" s="641">
        <v>220104</v>
      </c>
      <c r="C1936" s="646" t="s">
        <v>1767</v>
      </c>
    </row>
    <row r="1937" spans="1:3" ht="15.6" hidden="1" customHeight="1">
      <c r="A1937" s="640" t="str">
        <f>IF('[2]Memória de Cálculo'!A2665&gt;0,'[2]Memória de Cálculo'!A2665,"")</f>
        <v/>
      </c>
      <c r="B1937" s="641">
        <v>220105</v>
      </c>
      <c r="C1937" s="646" t="s">
        <v>2422</v>
      </c>
    </row>
    <row r="1938" spans="1:3" ht="21" hidden="1" customHeight="1">
      <c r="A1938" s="640" t="str">
        <f>IF('[2]Memória de Cálculo'!A2666&gt;0,'[2]Memória de Cálculo'!A2666,"")</f>
        <v/>
      </c>
      <c r="B1938" s="641">
        <v>220107</v>
      </c>
      <c r="C1938" s="646" t="s">
        <v>1769</v>
      </c>
    </row>
    <row r="1939" spans="1:3" ht="15.6" hidden="1" customHeight="1">
      <c r="A1939" s="640" t="str">
        <f>IF('[2]Memória de Cálculo'!A2667&gt;0,'[2]Memória de Cálculo'!A2667,"")</f>
        <v/>
      </c>
      <c r="B1939" s="641">
        <v>220108</v>
      </c>
      <c r="C1939" s="646" t="s">
        <v>1770</v>
      </c>
    </row>
    <row r="1940" spans="1:3" ht="15.6" hidden="1" customHeight="1">
      <c r="A1940" s="640" t="str">
        <f>IF('[2]Memória de Cálculo'!A2668&gt;0,'[2]Memória de Cálculo'!A2668,"")</f>
        <v/>
      </c>
      <c r="B1940" s="641">
        <v>220109</v>
      </c>
      <c r="C1940" s="646" t="s">
        <v>1771</v>
      </c>
    </row>
    <row r="1941" spans="1:3" ht="15.6" hidden="1" customHeight="1">
      <c r="A1941" s="640" t="str">
        <f>IF('[2]Memória de Cálculo'!A2669&gt;0,'[2]Memória de Cálculo'!A2669,"")</f>
        <v/>
      </c>
      <c r="B1941" s="641">
        <v>220111</v>
      </c>
      <c r="C1941" s="646" t="s">
        <v>1772</v>
      </c>
    </row>
    <row r="1942" spans="1:3" ht="15.6" hidden="1" customHeight="1">
      <c r="A1942" s="640" t="str">
        <f>IF('[2]Memória de Cálculo'!A2670&gt;0,'[2]Memória de Cálculo'!A2670,"")</f>
        <v/>
      </c>
      <c r="B1942" s="641">
        <v>220112</v>
      </c>
      <c r="C1942" s="646" t="s">
        <v>1773</v>
      </c>
    </row>
    <row r="1943" spans="1:3" ht="15.6" hidden="1" customHeight="1">
      <c r="A1943" s="640" t="str">
        <f>IF('[2]Memória de Cálculo'!A2671&gt;0,'[2]Memória de Cálculo'!A2671,"")</f>
        <v/>
      </c>
      <c r="B1943" s="641">
        <v>220113</v>
      </c>
      <c r="C1943" s="646" t="s">
        <v>1774</v>
      </c>
    </row>
    <row r="1944" spans="1:3" ht="15.6" hidden="1" customHeight="1">
      <c r="A1944" s="640" t="str">
        <f>IF('[2]Memória de Cálculo'!A2672&gt;0,'[2]Memória de Cálculo'!A2672,"")</f>
        <v>13.3</v>
      </c>
      <c r="B1944" s="641">
        <v>220114</v>
      </c>
      <c r="C1944" s="646" t="s">
        <v>2423</v>
      </c>
    </row>
    <row r="1945" spans="1:3">
      <c r="A1945" s="640" t="s">
        <v>3843</v>
      </c>
      <c r="B1945" s="641">
        <v>220201</v>
      </c>
      <c r="C1945" s="646" t="s">
        <v>2424</v>
      </c>
    </row>
    <row r="1946" spans="1:3" ht="15.6" hidden="1" customHeight="1">
      <c r="A1946" s="640" t="str">
        <f>IF('[2]Memória de Cálculo'!A2677&gt;0,'[2]Memória de Cálculo'!A2677,"")</f>
        <v/>
      </c>
      <c r="B1946" s="641">
        <v>220202</v>
      </c>
      <c r="C1946" s="646" t="s">
        <v>2425</v>
      </c>
    </row>
    <row r="1947" spans="1:3" ht="15.6" hidden="1" customHeight="1">
      <c r="A1947" s="640" t="str">
        <f>IF('[2]Memória de Cálculo'!A2678&gt;0,'[2]Memória de Cálculo'!A2678,"")</f>
        <v/>
      </c>
      <c r="B1947" s="641">
        <v>220301</v>
      </c>
      <c r="C1947" s="646" t="s">
        <v>2426</v>
      </c>
    </row>
    <row r="1948" spans="1:3" ht="15.6" hidden="1" customHeight="1">
      <c r="A1948" s="640" t="str">
        <f>IF('[2]Memória de Cálculo'!A2679&gt;0,'[2]Memória de Cálculo'!A2679,"")</f>
        <v/>
      </c>
      <c r="B1948" s="641">
        <v>220302</v>
      </c>
      <c r="C1948" s="646" t="s">
        <v>1779</v>
      </c>
    </row>
    <row r="1949" spans="1:3" ht="26.4" hidden="1" customHeight="1">
      <c r="A1949" s="640" t="str">
        <f>IF('[2]Memória de Cálculo'!A2680&gt;0,'[2]Memória de Cálculo'!A2680,"")</f>
        <v/>
      </c>
      <c r="B1949" s="641">
        <v>220309</v>
      </c>
      <c r="C1949" s="646" t="s">
        <v>1780</v>
      </c>
    </row>
    <row r="1950" spans="1:3" ht="15.6" hidden="1" customHeight="1">
      <c r="A1950" s="640" t="str">
        <f>IF('[2]Memória de Cálculo'!A2681&gt;0,'[2]Memória de Cálculo'!A2681,"")</f>
        <v/>
      </c>
      <c r="B1950" s="641">
        <v>220310</v>
      </c>
      <c r="C1950" s="646" t="s">
        <v>1781</v>
      </c>
    </row>
    <row r="1951" spans="1:3" ht="26.4" hidden="1" customHeight="1">
      <c r="A1951" s="640" t="str">
        <f>IF('[2]Memória de Cálculo'!A2682&gt;0,'[2]Memória de Cálculo'!A2682,"")</f>
        <v/>
      </c>
      <c r="B1951" s="641">
        <v>220311</v>
      </c>
      <c r="C1951" s="646" t="s">
        <v>1782</v>
      </c>
    </row>
    <row r="1952" spans="1:3" ht="15.6" hidden="1" customHeight="1">
      <c r="A1952" s="640" t="str">
        <f>IF('[2]Memória de Cálculo'!A2683&gt;0,'[2]Memória de Cálculo'!A2683,"")</f>
        <v/>
      </c>
      <c r="B1952" s="641">
        <v>220312</v>
      </c>
      <c r="C1952" s="646" t="s">
        <v>1783</v>
      </c>
    </row>
    <row r="1953" spans="1:3" ht="15.6" hidden="1" customHeight="1">
      <c r="A1953" s="640" t="str">
        <f>IF('[2]Memória de Cálculo'!A2684&gt;0,'[2]Memória de Cálculo'!A2684,"")</f>
        <v/>
      </c>
      <c r="B1953" s="641">
        <v>220401</v>
      </c>
      <c r="C1953" s="646" t="s">
        <v>1784</v>
      </c>
    </row>
    <row r="1954" spans="1:3" ht="15.6" hidden="1" customHeight="1">
      <c r="A1954" s="640" t="str">
        <f>IF('[2]Memória de Cálculo'!A2685&gt;0,'[2]Memória de Cálculo'!A2685,"")</f>
        <v/>
      </c>
      <c r="B1954" s="641">
        <v>220402</v>
      </c>
      <c r="C1954" s="646" t="s">
        <v>1785</v>
      </c>
    </row>
    <row r="1955" spans="1:3" ht="26.4" hidden="1" customHeight="1">
      <c r="A1955" s="640" t="str">
        <f>IF('[2]Memória de Cálculo'!A2686&gt;0,'[2]Memória de Cálculo'!A2686,"")</f>
        <v/>
      </c>
      <c r="B1955" s="641">
        <v>220403</v>
      </c>
      <c r="C1955" s="647" t="s">
        <v>1786</v>
      </c>
    </row>
    <row r="1956" spans="1:3" ht="15.6" hidden="1" customHeight="1">
      <c r="A1956" s="640" t="str">
        <f>IF('[2]Memória de Cálculo'!A2687&gt;0,'[2]Memória de Cálculo'!A2687,"")</f>
        <v/>
      </c>
      <c r="B1956" s="641">
        <v>220802</v>
      </c>
      <c r="C1956" s="646" t="s">
        <v>1787</v>
      </c>
    </row>
    <row r="1957" spans="1:3" ht="15.6" hidden="1" customHeight="1">
      <c r="A1957" s="640" t="str">
        <f>IF('[2]Memória de Cálculo'!A2688&gt;0,'[2]Memória de Cálculo'!A2688,"")</f>
        <v/>
      </c>
      <c r="B1957" s="641">
        <v>220901</v>
      </c>
      <c r="C1957" s="646" t="s">
        <v>2427</v>
      </c>
    </row>
    <row r="1958" spans="1:3" ht="15.6" hidden="1" customHeight="1">
      <c r="A1958" s="640" t="str">
        <f>IF('[2]Memória de Cálculo'!A2689&gt;0,'[2]Memória de Cálculo'!A2689,"")</f>
        <v/>
      </c>
      <c r="B1958" s="641">
        <v>220902</v>
      </c>
      <c r="C1958" s="646" t="s">
        <v>1789</v>
      </c>
    </row>
    <row r="1959" spans="1:3" ht="26.4" hidden="1" customHeight="1">
      <c r="A1959" s="640" t="str">
        <f>IF('[2]Memória de Cálculo'!A2690&gt;0,'[2]Memória de Cálculo'!A2690,"")</f>
        <v/>
      </c>
      <c r="B1959" s="641">
        <v>220903</v>
      </c>
      <c r="C1959" s="646" t="s">
        <v>1790</v>
      </c>
    </row>
    <row r="1960" spans="1:3" ht="15.6" hidden="1" customHeight="1">
      <c r="A1960" s="640" t="str">
        <f>IF('[2]Memória de Cálculo'!A2691&gt;0,'[2]Memória de Cálculo'!A2691,"")</f>
        <v/>
      </c>
      <c r="B1960" s="641">
        <v>220904</v>
      </c>
      <c r="C1960" s="646" t="s">
        <v>1791</v>
      </c>
    </row>
    <row r="1961" spans="1:3" ht="15.6" hidden="1" customHeight="1">
      <c r="A1961" s="640" t="str">
        <f>IF('[2]Memória de Cálculo'!A2692&gt;0,'[2]Memória de Cálculo'!A2692,"")</f>
        <v/>
      </c>
      <c r="B1961" s="641">
        <v>220906</v>
      </c>
      <c r="C1961" s="646" t="s">
        <v>1792</v>
      </c>
    </row>
    <row r="1962" spans="1:3" ht="15.6" hidden="1" customHeight="1">
      <c r="A1962" s="640" t="str">
        <f>IF('[2]Memória de Cálculo'!A2693&gt;0,'[2]Memória de Cálculo'!A2693,"")</f>
        <v/>
      </c>
      <c r="B1962" s="641">
        <v>220907</v>
      </c>
      <c r="C1962" s="646" t="s">
        <v>1793</v>
      </c>
    </row>
    <row r="1963" spans="1:3" ht="15.6" hidden="1" customHeight="1">
      <c r="A1963" s="640" t="str">
        <f>IF('[2]Memória de Cálculo'!A2694&gt;0,'[2]Memória de Cálculo'!A2694,"")</f>
        <v/>
      </c>
      <c r="B1963" s="641">
        <v>220910</v>
      </c>
      <c r="C1963" s="646" t="s">
        <v>2428</v>
      </c>
    </row>
    <row r="1964" spans="1:3" ht="15.6" hidden="1" customHeight="1">
      <c r="A1964" s="640" t="str">
        <f>IF('[2]Memória de Cálculo'!A2695&gt;0,'[2]Memória de Cálculo'!A2695,"")</f>
        <v/>
      </c>
      <c r="B1964" s="641">
        <v>220911</v>
      </c>
      <c r="C1964" s="646" t="s">
        <v>1795</v>
      </c>
    </row>
    <row r="1965" spans="1:3" ht="15.6" hidden="1" customHeight="1">
      <c r="A1965" s="640" t="str">
        <f>IF('[2]Memória de Cálculo'!A2696&gt;0,'[2]Memória de Cálculo'!A2696,"")</f>
        <v/>
      </c>
      <c r="B1965" s="641">
        <v>220912</v>
      </c>
      <c r="C1965" s="646" t="s">
        <v>1796</v>
      </c>
    </row>
    <row r="1966" spans="1:3" ht="15.6" hidden="1" customHeight="1">
      <c r="A1966" s="640" t="str">
        <f>IF('[2]Memória de Cálculo'!A2697&gt;0,'[2]Memória de Cálculo'!A2697,"")</f>
        <v/>
      </c>
      <c r="B1966" s="641">
        <v>220913</v>
      </c>
      <c r="C1966" s="646" t="s">
        <v>1797</v>
      </c>
    </row>
    <row r="1967" spans="1:3" ht="15.6" hidden="1" customHeight="1">
      <c r="A1967" s="640" t="str">
        <f>IF('[2]Memória de Cálculo'!A2698&gt;0,'[2]Memória de Cálculo'!A2698,"")</f>
        <v>13.4</v>
      </c>
      <c r="B1967" s="641">
        <v>220917</v>
      </c>
      <c r="C1967" s="646" t="s">
        <v>1798</v>
      </c>
    </row>
    <row r="1968" spans="1:3" ht="92.4">
      <c r="A1968" s="640"/>
      <c r="B1968" s="641"/>
      <c r="C1968" s="646" t="s">
        <v>4055</v>
      </c>
    </row>
    <row r="1969" spans="1:3">
      <c r="A1969" s="656"/>
      <c r="B1969" s="656"/>
      <c r="C1969" s="656"/>
    </row>
    <row r="1970" spans="1:3">
      <c r="A1970" s="640" t="s">
        <v>3844</v>
      </c>
      <c r="B1970" s="641">
        <v>220920</v>
      </c>
      <c r="C1970" s="646" t="s">
        <v>1799</v>
      </c>
    </row>
    <row r="1971" spans="1:3" ht="15.6" hidden="1" customHeight="1">
      <c r="A1971" s="640" t="str">
        <f>IF('[2]Memória de Cálculo'!A2706&gt;0,'[2]Memória de Cálculo'!A2706,"")</f>
        <v/>
      </c>
      <c r="B1971" s="641">
        <v>221000</v>
      </c>
      <c r="C1971" s="646" t="s">
        <v>1800</v>
      </c>
    </row>
    <row r="1972" spans="1:3" ht="15.6" hidden="1" customHeight="1">
      <c r="A1972" s="640" t="str">
        <f>IF('[2]Memória de Cálculo'!A2707&gt;0,'[2]Memória de Cálculo'!A2707,"")</f>
        <v/>
      </c>
      <c r="B1972" s="641">
        <v>221001</v>
      </c>
      <c r="C1972" s="646" t="s">
        <v>1801</v>
      </c>
    </row>
    <row r="1973" spans="1:3" ht="15.6" hidden="1" customHeight="1">
      <c r="A1973" s="640" t="str">
        <f>IF('[2]Memória de Cálculo'!A2711&gt;0,'[2]Memória de Cálculo'!A2711,"")</f>
        <v>13.5</v>
      </c>
      <c r="B1973" s="641">
        <v>221003</v>
      </c>
      <c r="C1973" s="646" t="s">
        <v>1802</v>
      </c>
    </row>
    <row r="1974" spans="1:3" ht="79.2">
      <c r="A1974" s="640"/>
      <c r="B1974" s="641"/>
      <c r="C1974" s="646" t="s">
        <v>4056</v>
      </c>
    </row>
    <row r="1975" spans="1:3">
      <c r="A1975" s="656"/>
      <c r="B1975" s="656"/>
      <c r="C1975" s="656"/>
    </row>
    <row r="1976" spans="1:3">
      <c r="A1976" s="640" t="s">
        <v>3846</v>
      </c>
      <c r="B1976" s="641">
        <v>221004</v>
      </c>
      <c r="C1976" s="646" t="s">
        <v>2429</v>
      </c>
    </row>
    <row r="1977" spans="1:3" ht="18.600000000000001" customHeight="1">
      <c r="A1977" s="640"/>
      <c r="B1977" s="641"/>
      <c r="C1977" s="646" t="s">
        <v>4057</v>
      </c>
    </row>
    <row r="1978" spans="1:3">
      <c r="A1978" s="640"/>
      <c r="B1978" s="641"/>
      <c r="C1978" s="646"/>
    </row>
    <row r="1979" spans="1:3" ht="15.6" hidden="1" customHeight="1">
      <c r="A1979" s="640"/>
      <c r="B1979" s="641">
        <v>221005</v>
      </c>
      <c r="C1979" s="646" t="s">
        <v>2430</v>
      </c>
    </row>
    <row r="1980" spans="1:3">
      <c r="A1980" s="640" t="s">
        <v>3847</v>
      </c>
      <c r="B1980" s="641">
        <v>221101</v>
      </c>
      <c r="C1980" s="647" t="s">
        <v>1805</v>
      </c>
    </row>
    <row r="1981" spans="1:3">
      <c r="A1981" s="640" t="s">
        <v>3848</v>
      </c>
      <c r="B1981" s="641">
        <v>221102</v>
      </c>
      <c r="C1981" s="646" t="s">
        <v>1806</v>
      </c>
    </row>
    <row r="1982" spans="1:3" ht="79.2">
      <c r="A1982" s="640"/>
      <c r="B1982" s="641"/>
      <c r="C1982" s="646" t="s">
        <v>4058</v>
      </c>
    </row>
    <row r="1983" spans="1:3">
      <c r="A1983" s="656"/>
      <c r="B1983" s="656"/>
      <c r="C1983" s="656"/>
    </row>
    <row r="1984" spans="1:3">
      <c r="A1984" s="640" t="s">
        <v>3845</v>
      </c>
      <c r="B1984" s="641">
        <v>221104</v>
      </c>
      <c r="C1984" s="646" t="s">
        <v>1807</v>
      </c>
    </row>
    <row r="1985" spans="1:3" ht="26.4">
      <c r="A1985" s="648"/>
      <c r="B1985" s="644"/>
      <c r="C1985" s="645" t="s">
        <v>4059</v>
      </c>
    </row>
    <row r="1986" spans="1:3">
      <c r="A1986" s="656"/>
      <c r="B1986" s="656"/>
      <c r="C1986" s="656"/>
    </row>
    <row r="1987" spans="1:3">
      <c r="A1987" s="648" t="s">
        <v>3849</v>
      </c>
      <c r="B1987" s="644" t="s">
        <v>3769</v>
      </c>
      <c r="C1987" s="645" t="s">
        <v>3113</v>
      </c>
    </row>
    <row r="1988" spans="1:3" ht="66">
      <c r="A1988" s="648"/>
      <c r="B1988" s="644"/>
      <c r="C1988" s="645" t="s">
        <v>4060</v>
      </c>
    </row>
    <row r="1989" spans="1:3">
      <c r="A1989" s="656"/>
      <c r="B1989" s="656"/>
      <c r="C1989" s="656"/>
    </row>
    <row r="1990" spans="1:3">
      <c r="A1990" s="648" t="s">
        <v>3850</v>
      </c>
      <c r="B1990" s="644" t="s">
        <v>3770</v>
      </c>
      <c r="C1990" s="645" t="s">
        <v>3388</v>
      </c>
    </row>
    <row r="1991" spans="1:3" ht="26.4">
      <c r="A1991" s="648" t="s">
        <v>3851</v>
      </c>
      <c r="B1991" s="644" t="s">
        <v>3114</v>
      </c>
      <c r="C1991" s="645" t="s">
        <v>3115</v>
      </c>
    </row>
    <row r="1992" spans="1:3" ht="92.4">
      <c r="A1992" s="648"/>
      <c r="B1992" s="644"/>
      <c r="C1992" s="645" t="s">
        <v>4061</v>
      </c>
    </row>
    <row r="1993" spans="1:3">
      <c r="A1993" s="656"/>
      <c r="B1993" s="656"/>
      <c r="C1993" s="656"/>
    </row>
    <row r="1994" spans="1:3" ht="26.4" hidden="1" customHeight="1">
      <c r="A1994" s="640" t="str">
        <f>IF('[2]Memória de Cálculo'!A2746&gt;0,'[2]Memória de Cálculo'!A2746,"")</f>
        <v/>
      </c>
      <c r="B1994" s="641">
        <v>221106</v>
      </c>
      <c r="C1994" s="646" t="s">
        <v>1808</v>
      </c>
    </row>
    <row r="1995" spans="1:3" ht="15.6" hidden="1" customHeight="1">
      <c r="A1995" s="640" t="str">
        <f>IF('[2]Memória de Cálculo'!A2747&gt;0,'[2]Memória de Cálculo'!A2747,"")</f>
        <v/>
      </c>
      <c r="B1995" s="641">
        <v>221107</v>
      </c>
      <c r="C1995" s="646" t="s">
        <v>1809</v>
      </c>
    </row>
    <row r="1996" spans="1:3" ht="15.6" hidden="1" customHeight="1">
      <c r="A1996" s="640" t="str">
        <f>IF('[2]Memória de Cálculo'!A2748&gt;0,'[2]Memória de Cálculo'!A2748,"")</f>
        <v/>
      </c>
      <c r="B1996" s="641">
        <v>221108</v>
      </c>
      <c r="C1996" s="646" t="s">
        <v>1810</v>
      </c>
    </row>
    <row r="1997" spans="1:3" ht="15.6" hidden="1" customHeight="1">
      <c r="A1997" s="640" t="str">
        <f>IF('[2]Memória de Cálculo'!A2749&gt;0,'[2]Memória de Cálculo'!A2749,"")</f>
        <v/>
      </c>
      <c r="B1997" s="641">
        <v>221109</v>
      </c>
      <c r="C1997" s="646" t="s">
        <v>2431</v>
      </c>
    </row>
    <row r="1998" spans="1:3" ht="26.4" hidden="1" customHeight="1">
      <c r="A1998" s="640" t="str">
        <f>IF('[2]Memória de Cálculo'!A2750&gt;0,'[2]Memória de Cálculo'!A2750,"")</f>
        <v/>
      </c>
      <c r="B1998" s="641">
        <v>221120</v>
      </c>
      <c r="C1998" s="646" t="s">
        <v>1812</v>
      </c>
    </row>
    <row r="1999" spans="1:3" ht="26.4" hidden="1" customHeight="1">
      <c r="A1999" s="640" t="str">
        <f>IF('[2]Memória de Cálculo'!A2751&gt;0,'[2]Memória de Cálculo'!A2751,"")</f>
        <v/>
      </c>
      <c r="B1999" s="641">
        <v>221122</v>
      </c>
      <c r="C1999" s="646" t="s">
        <v>1813</v>
      </c>
    </row>
    <row r="2000" spans="1:3" ht="26.4" hidden="1" customHeight="1">
      <c r="A2000" s="640" t="str">
        <f>IF('[2]Memória de Cálculo'!A2752&gt;0,'[2]Memória de Cálculo'!A2752,"")</f>
        <v/>
      </c>
      <c r="B2000" s="641">
        <v>221124</v>
      </c>
      <c r="C2000" s="647" t="s">
        <v>1814</v>
      </c>
    </row>
    <row r="2001" spans="1:3" ht="26.4" hidden="1" customHeight="1">
      <c r="A2001" s="640" t="str">
        <f>IF('[2]Memória de Cálculo'!A2753&gt;0,'[2]Memória de Cálculo'!A2753,"")</f>
        <v>13.9</v>
      </c>
      <c r="B2001" s="641">
        <v>221126</v>
      </c>
      <c r="C2001" s="646" t="s">
        <v>1815</v>
      </c>
    </row>
    <row r="2002" spans="1:3" ht="15.6">
      <c r="A2002" s="637">
        <v>14</v>
      </c>
      <c r="B2002" s="638">
        <v>230000</v>
      </c>
      <c r="C2002" s="639" t="s">
        <v>1816</v>
      </c>
    </row>
    <row r="2003" spans="1:3" ht="66">
      <c r="A2003" s="648" t="s">
        <v>2858</v>
      </c>
      <c r="B2003" s="644" t="s">
        <v>3652</v>
      </c>
      <c r="C2003" s="645" t="s">
        <v>3916</v>
      </c>
    </row>
    <row r="2004" spans="1:3" ht="66">
      <c r="A2004" s="648"/>
      <c r="B2004" s="644"/>
      <c r="C2004" s="645" t="s">
        <v>4062</v>
      </c>
    </row>
    <row r="2005" spans="1:3" ht="15.6" hidden="1" customHeight="1">
      <c r="A2005" s="640" t="str">
        <f>IF('[2]Memória de Cálculo'!A2765&gt;0,'[2]Memória de Cálculo'!A2765,"")</f>
        <v/>
      </c>
      <c r="B2005" s="641">
        <v>230101</v>
      </c>
      <c r="C2005" s="646" t="s">
        <v>2432</v>
      </c>
    </row>
    <row r="2006" spans="1:3" ht="15.6" hidden="1" customHeight="1">
      <c r="A2006" s="640" t="str">
        <f>IF('[2]Memória de Cálculo'!A2766&gt;0,'[2]Memória de Cálculo'!A2766,"")</f>
        <v/>
      </c>
      <c r="B2006" s="641">
        <v>230102</v>
      </c>
      <c r="C2006" s="646" t="s">
        <v>2433</v>
      </c>
    </row>
    <row r="2007" spans="1:3" ht="15.6" hidden="1" customHeight="1">
      <c r="A2007" s="640" t="str">
        <f>IF('[2]Memória de Cálculo'!A2767&gt;0,'[2]Memória de Cálculo'!A2767,"")</f>
        <v/>
      </c>
      <c r="B2007" s="641">
        <v>230103</v>
      </c>
      <c r="C2007" s="646" t="s">
        <v>2434</v>
      </c>
    </row>
    <row r="2008" spans="1:3" ht="15.6" hidden="1" customHeight="1">
      <c r="A2008" s="640" t="str">
        <f>IF('[2]Memória de Cálculo'!A2768&gt;0,'[2]Memória de Cálculo'!A2768,"")</f>
        <v/>
      </c>
      <c r="B2008" s="641">
        <v>230104</v>
      </c>
      <c r="C2008" s="646" t="s">
        <v>2435</v>
      </c>
    </row>
    <row r="2009" spans="1:3" ht="15.6" hidden="1" customHeight="1">
      <c r="A2009" s="640" t="str">
        <f>IF('[2]Memória de Cálculo'!A2769&gt;0,'[2]Memória de Cálculo'!A2769,"")</f>
        <v/>
      </c>
      <c r="B2009" s="641">
        <v>230105</v>
      </c>
      <c r="C2009" s="646" t="s">
        <v>2436</v>
      </c>
    </row>
    <row r="2010" spans="1:3" ht="15.6" hidden="1" customHeight="1">
      <c r="A2010" s="640" t="str">
        <f>IF('[2]Memória de Cálculo'!A2770&gt;0,'[2]Memória de Cálculo'!A2770,"")</f>
        <v/>
      </c>
      <c r="B2010" s="641">
        <v>230106</v>
      </c>
      <c r="C2010" s="646" t="s">
        <v>1822</v>
      </c>
    </row>
    <row r="2011" spans="1:3" ht="15.6" hidden="1" customHeight="1">
      <c r="A2011" s="640" t="str">
        <f>IF('[2]Memória de Cálculo'!A2771&gt;0,'[2]Memória de Cálculo'!A2771,"")</f>
        <v/>
      </c>
      <c r="B2011" s="641">
        <v>230107</v>
      </c>
      <c r="C2011" s="646" t="s">
        <v>2437</v>
      </c>
    </row>
    <row r="2012" spans="1:3" ht="15.6" hidden="1" customHeight="1">
      <c r="A2012" s="640" t="str">
        <f>IF('[2]Memória de Cálculo'!A2772&gt;0,'[2]Memória de Cálculo'!A2772,"")</f>
        <v/>
      </c>
      <c r="B2012" s="641">
        <v>230108</v>
      </c>
      <c r="C2012" s="646" t="s">
        <v>2438</v>
      </c>
    </row>
    <row r="2013" spans="1:3" ht="15.6" hidden="1" customHeight="1">
      <c r="A2013" s="640" t="str">
        <f>IF('[2]Memória de Cálculo'!A2773&gt;0,'[2]Memória de Cálculo'!A2773,"")</f>
        <v/>
      </c>
      <c r="B2013" s="641">
        <v>230109</v>
      </c>
      <c r="C2013" s="646" t="s">
        <v>2439</v>
      </c>
    </row>
    <row r="2014" spans="1:3" ht="15.6" hidden="1" customHeight="1">
      <c r="A2014" s="640" t="str">
        <f>IF('[2]Memória de Cálculo'!A2774&gt;0,'[2]Memória de Cálculo'!A2774,"")</f>
        <v/>
      </c>
      <c r="B2014" s="641">
        <v>230110</v>
      </c>
      <c r="C2014" s="646" t="s">
        <v>1826</v>
      </c>
    </row>
    <row r="2015" spans="1:3" ht="15.6" hidden="1" customHeight="1">
      <c r="A2015" s="640" t="str">
        <f>IF('[2]Memória de Cálculo'!A2775&gt;0,'[2]Memória de Cálculo'!A2775,"")</f>
        <v/>
      </c>
      <c r="B2015" s="641">
        <v>230174</v>
      </c>
      <c r="C2015" s="646" t="s">
        <v>1827</v>
      </c>
    </row>
    <row r="2016" spans="1:3" ht="15.6" hidden="1" customHeight="1">
      <c r="A2016" s="640" t="str">
        <f>IF('[2]Memória de Cálculo'!A2776&gt;0,'[2]Memória de Cálculo'!A2776,"")</f>
        <v/>
      </c>
      <c r="B2016" s="641">
        <v>230176</v>
      </c>
      <c r="C2016" s="646" t="s">
        <v>1828</v>
      </c>
    </row>
    <row r="2017" spans="1:3" ht="15.6" hidden="1" customHeight="1">
      <c r="A2017" s="640" t="str">
        <f>IF('[2]Memória de Cálculo'!A2777&gt;0,'[2]Memória de Cálculo'!A2777,"")</f>
        <v/>
      </c>
      <c r="B2017" s="641">
        <v>230201</v>
      </c>
      <c r="C2017" s="646" t="s">
        <v>1829</v>
      </c>
    </row>
    <row r="2018" spans="1:3" ht="15.6" hidden="1" customHeight="1">
      <c r="A2018" s="640" t="str">
        <f>IF('[2]Memória de Cálculo'!A2778&gt;0,'[2]Memória de Cálculo'!A2778,"")</f>
        <v/>
      </c>
      <c r="B2018" s="641">
        <v>230202</v>
      </c>
      <c r="C2018" s="646" t="s">
        <v>1830</v>
      </c>
    </row>
    <row r="2019" spans="1:3" ht="15.6" hidden="1" customHeight="1">
      <c r="A2019" s="640" t="str">
        <f>IF('[2]Memória de Cálculo'!A2779&gt;0,'[2]Memória de Cálculo'!A2779,"")</f>
        <v/>
      </c>
      <c r="B2019" s="641">
        <v>230206</v>
      </c>
      <c r="C2019" s="646" t="s">
        <v>2440</v>
      </c>
    </row>
    <row r="2020" spans="1:3" ht="15.6" hidden="1" customHeight="1">
      <c r="A2020" s="640" t="str">
        <f>IF('[2]Memória de Cálculo'!A2780&gt;0,'[2]Memória de Cálculo'!A2780,"")</f>
        <v/>
      </c>
      <c r="B2020" s="641">
        <v>230207</v>
      </c>
      <c r="C2020" s="646" t="s">
        <v>2441</v>
      </c>
    </row>
    <row r="2021" spans="1:3" ht="15.6" hidden="1" customHeight="1">
      <c r="A2021" s="640" t="str">
        <f>IF('[2]Memória de Cálculo'!A2781&gt;0,'[2]Memória de Cálculo'!A2781,"")</f>
        <v/>
      </c>
      <c r="B2021" s="641">
        <v>230208</v>
      </c>
      <c r="C2021" s="646" t="s">
        <v>2442</v>
      </c>
    </row>
    <row r="2022" spans="1:3" ht="15.6" hidden="1" customHeight="1">
      <c r="A2022" s="640" t="str">
        <f>IF('[2]Memória de Cálculo'!A2782&gt;0,'[2]Memória de Cálculo'!A2782,"")</f>
        <v/>
      </c>
      <c r="B2022" s="641">
        <v>230209</v>
      </c>
      <c r="C2022" s="646" t="s">
        <v>2443</v>
      </c>
    </row>
    <row r="2023" spans="1:3" ht="15.6" hidden="1" customHeight="1">
      <c r="A2023" s="640" t="str">
        <f>IF('[2]Memória de Cálculo'!A2783&gt;0,'[2]Memória de Cálculo'!A2783,"")</f>
        <v/>
      </c>
      <c r="B2023" s="641">
        <v>230210</v>
      </c>
      <c r="C2023" s="646" t="s">
        <v>2444</v>
      </c>
    </row>
    <row r="2024" spans="1:3" ht="15.6" hidden="1" customHeight="1">
      <c r="A2024" s="640" t="str">
        <f>IF('[2]Memória de Cálculo'!A2784&gt;0,'[2]Memória de Cálculo'!A2784,"")</f>
        <v/>
      </c>
      <c r="B2024" s="641">
        <v>230211</v>
      </c>
      <c r="C2024" s="646" t="s">
        <v>2445</v>
      </c>
    </row>
    <row r="2025" spans="1:3" ht="15.6" hidden="1" customHeight="1">
      <c r="A2025" s="640" t="str">
        <f>IF('[2]Memória de Cálculo'!A2785&gt;0,'[2]Memória de Cálculo'!A2785,"")</f>
        <v/>
      </c>
      <c r="B2025" s="641">
        <v>230801</v>
      </c>
      <c r="C2025" s="646" t="s">
        <v>2446</v>
      </c>
    </row>
    <row r="2026" spans="1:3" ht="15.6" hidden="1" customHeight="1">
      <c r="A2026" s="640" t="str">
        <f>IF('[2]Memória de Cálculo'!A2786&gt;0,'[2]Memória de Cálculo'!A2786,"")</f>
        <v/>
      </c>
      <c r="B2026" s="641">
        <v>230802</v>
      </c>
      <c r="C2026" s="646" t="s">
        <v>1838</v>
      </c>
    </row>
    <row r="2027" spans="1:3" ht="15.6" hidden="1" customHeight="1">
      <c r="A2027" s="640" t="str">
        <f>IF('[2]Memória de Cálculo'!A2787&gt;0,'[2]Memória de Cálculo'!A2787,"")</f>
        <v/>
      </c>
      <c r="B2027" s="641">
        <v>230803</v>
      </c>
      <c r="C2027" s="646" t="s">
        <v>1839</v>
      </c>
    </row>
    <row r="2028" spans="1:3" ht="15.6" hidden="1" customHeight="1">
      <c r="A2028" s="640" t="str">
        <f>IF('[2]Memória de Cálculo'!A2788&gt;0,'[2]Memória de Cálculo'!A2788,"")</f>
        <v>14.1</v>
      </c>
      <c r="B2028" s="641">
        <v>230804</v>
      </c>
      <c r="C2028" s="646" t="s">
        <v>1840</v>
      </c>
    </row>
    <row r="2029" spans="1:3">
      <c r="A2029" s="656"/>
      <c r="B2029" s="656"/>
      <c r="C2029" s="656"/>
    </row>
    <row r="2030" spans="1:3" ht="15.6" hidden="1" customHeight="1">
      <c r="A2030" s="637"/>
      <c r="B2030" s="662">
        <v>240000</v>
      </c>
      <c r="C2030" s="663" t="s">
        <v>1841</v>
      </c>
    </row>
    <row r="2031" spans="1:3" ht="15.6" hidden="1" customHeight="1">
      <c r="A2031" s="640" t="str">
        <f>IF('[2]Memória de Cálculo'!A2812&gt;0,'[2]Memória de Cálculo'!A2812,"")</f>
        <v/>
      </c>
      <c r="B2031" s="641">
        <v>240104</v>
      </c>
      <c r="C2031" s="646" t="s">
        <v>1842</v>
      </c>
    </row>
    <row r="2032" spans="1:3" ht="15.6" hidden="1" customHeight="1">
      <c r="A2032" s="640" t="str">
        <f>IF('[2]Memória de Cálculo'!A2813&gt;0,'[2]Memória de Cálculo'!A2813,"")</f>
        <v/>
      </c>
      <c r="B2032" s="641">
        <v>240105</v>
      </c>
      <c r="C2032" s="646" t="s">
        <v>1843</v>
      </c>
    </row>
    <row r="2033" spans="1:3" ht="15.6" hidden="1" customHeight="1">
      <c r="A2033" s="640" t="str">
        <f>IF('[2]Memória de Cálculo'!A2814&gt;0,'[2]Memória de Cálculo'!A2814,"")</f>
        <v/>
      </c>
      <c r="B2033" s="641">
        <v>240106</v>
      </c>
      <c r="C2033" s="646" t="s">
        <v>1844</v>
      </c>
    </row>
    <row r="2034" spans="1:3" ht="15.6" hidden="1" customHeight="1">
      <c r="A2034" s="640" t="str">
        <f>IF('[2]Memória de Cálculo'!A2815&gt;0,'[2]Memória de Cálculo'!A2815,"")</f>
        <v/>
      </c>
      <c r="B2034" s="641">
        <v>240107</v>
      </c>
      <c r="C2034" s="646" t="s">
        <v>1845</v>
      </c>
    </row>
    <row r="2035" spans="1:3" ht="15.6" hidden="1" customHeight="1">
      <c r="A2035" s="640" t="str">
        <f>IF('[2]Memória de Cálculo'!A2816&gt;0,'[2]Memória de Cálculo'!A2816,"")</f>
        <v/>
      </c>
      <c r="B2035" s="641">
        <v>240108</v>
      </c>
      <c r="C2035" s="646" t="s">
        <v>1846</v>
      </c>
    </row>
    <row r="2036" spans="1:3" ht="15.6" hidden="1" customHeight="1">
      <c r="A2036" s="640" t="str">
        <f>IF('[2]Memória de Cálculo'!A2817&gt;0,'[2]Memória de Cálculo'!A2817,"")</f>
        <v/>
      </c>
      <c r="B2036" s="641">
        <v>240109</v>
      </c>
      <c r="C2036" s="646" t="s">
        <v>2447</v>
      </c>
    </row>
    <row r="2037" spans="1:3" ht="15.6" hidden="1" customHeight="1">
      <c r="A2037" s="640" t="str">
        <f>IF('[2]Memória de Cálculo'!A2818&gt;0,'[2]Memória de Cálculo'!A2818,"")</f>
        <v/>
      </c>
      <c r="B2037" s="641">
        <v>240110</v>
      </c>
      <c r="C2037" s="646" t="s">
        <v>1848</v>
      </c>
    </row>
    <row r="2038" spans="1:3" ht="15.6" hidden="1" customHeight="1">
      <c r="A2038" s="640" t="str">
        <f>IF('[2]Memória de Cálculo'!A2819&gt;0,'[2]Memória de Cálculo'!A2819,"")</f>
        <v/>
      </c>
      <c r="B2038" s="641">
        <v>240200</v>
      </c>
      <c r="C2038" s="646" t="s">
        <v>1849</v>
      </c>
    </row>
    <row r="2039" spans="1:3" ht="15.6" hidden="1" customHeight="1">
      <c r="A2039" s="640" t="str">
        <f>IF('[2]Memória de Cálculo'!A2820&gt;0,'[2]Memória de Cálculo'!A2820,"")</f>
        <v/>
      </c>
      <c r="B2039" s="641">
        <v>240203</v>
      </c>
      <c r="C2039" s="646" t="s">
        <v>1850</v>
      </c>
    </row>
    <row r="2040" spans="1:3" ht="15.6" hidden="1" customHeight="1">
      <c r="A2040" s="640" t="str">
        <f>IF('[2]Memória de Cálculo'!A2821&gt;0,'[2]Memória de Cálculo'!A2821,"")</f>
        <v/>
      </c>
      <c r="B2040" s="641">
        <v>240208</v>
      </c>
      <c r="C2040" s="646" t="s">
        <v>1851</v>
      </c>
    </row>
    <row r="2041" spans="1:3" ht="15.6" hidden="1" customHeight="1">
      <c r="A2041" s="640" t="str">
        <f>IF('[2]Memória de Cálculo'!A2822&gt;0,'[2]Memória de Cálculo'!A2822,"")</f>
        <v/>
      </c>
      <c r="B2041" s="641">
        <v>240209</v>
      </c>
      <c r="C2041" s="646" t="s">
        <v>1852</v>
      </c>
    </row>
    <row r="2042" spans="1:3" ht="15.6" hidden="1" customHeight="1">
      <c r="A2042" s="640">
        <f>IF('[2]Memória de Cálculo'!A2823&gt;0,'[2]Memória de Cálculo'!A2823,"")</f>
        <v>15</v>
      </c>
      <c r="B2042" s="641">
        <v>240210</v>
      </c>
      <c r="C2042" s="646" t="s">
        <v>1853</v>
      </c>
    </row>
    <row r="2043" spans="1:3" ht="15.6">
      <c r="A2043" s="637">
        <v>15</v>
      </c>
      <c r="B2043" s="662">
        <v>250000</v>
      </c>
      <c r="C2043" s="663" t="s">
        <v>1854</v>
      </c>
    </row>
    <row r="2044" spans="1:3">
      <c r="A2044" s="640" t="s">
        <v>2887</v>
      </c>
      <c r="B2044" s="641">
        <v>250101</v>
      </c>
      <c r="C2044" s="646" t="s">
        <v>1855</v>
      </c>
    </row>
    <row r="2045" spans="1:3">
      <c r="A2045" s="640" t="s">
        <v>2888</v>
      </c>
      <c r="B2045" s="641">
        <v>250102</v>
      </c>
      <c r="C2045" s="646" t="s">
        <v>1856</v>
      </c>
    </row>
    <row r="2046" spans="1:3" ht="52.8">
      <c r="A2046" s="640"/>
      <c r="B2046" s="641"/>
      <c r="C2046" s="646" t="s">
        <v>4063</v>
      </c>
    </row>
    <row r="2047" spans="1:3" ht="15.6" hidden="1" customHeight="1">
      <c r="A2047" s="640" t="str">
        <f>IF('[2]Memória de Cálculo'!A2831&gt;0,'[2]Memória de Cálculo'!A2831,"")</f>
        <v/>
      </c>
      <c r="B2047" s="641">
        <v>250103</v>
      </c>
      <c r="C2047" s="646" t="s">
        <v>1857</v>
      </c>
    </row>
    <row r="2048" spans="1:3" ht="15.6" hidden="1" customHeight="1">
      <c r="A2048" s="640" t="str">
        <f>IF('[2]Memória de Cálculo'!A2832&gt;0,'[2]Memória de Cálculo'!A2832,"")</f>
        <v/>
      </c>
      <c r="B2048" s="641">
        <v>250104</v>
      </c>
      <c r="C2048" s="646" t="s">
        <v>1858</v>
      </c>
    </row>
    <row r="2049" spans="1:3" ht="15.6" hidden="1" customHeight="1">
      <c r="A2049" s="640" t="str">
        <f>IF('[2]Memória de Cálculo'!A2833&gt;0,'[2]Memória de Cálculo'!A2833,"")</f>
        <v/>
      </c>
      <c r="B2049" s="641">
        <v>250105</v>
      </c>
      <c r="C2049" s="646" t="s">
        <v>1859</v>
      </c>
    </row>
    <row r="2050" spans="1:3" ht="15.6" hidden="1" customHeight="1">
      <c r="A2050" s="640" t="str">
        <f>IF('[2]Memória de Cálculo'!A2834&gt;0,'[2]Memória de Cálculo'!A2834,"")</f>
        <v/>
      </c>
      <c r="B2050" s="641">
        <v>250109</v>
      </c>
      <c r="C2050" s="646" t="s">
        <v>1860</v>
      </c>
    </row>
    <row r="2051" spans="1:3" ht="15.6" hidden="1" customHeight="1">
      <c r="A2051" s="640" t="str">
        <f>IF('[2]Memória de Cálculo'!A2835&gt;0,'[2]Memória de Cálculo'!A2835,"")</f>
        <v/>
      </c>
      <c r="B2051" s="641">
        <v>250110</v>
      </c>
      <c r="C2051" s="646" t="s">
        <v>1861</v>
      </c>
    </row>
    <row r="2052" spans="1:3" ht="15.6" hidden="1" customHeight="1">
      <c r="A2052" s="640" t="str">
        <f>IF('[2]Memória de Cálculo'!A2836&gt;0,'[2]Memória de Cálculo'!A2836,"")</f>
        <v/>
      </c>
      <c r="B2052" s="641">
        <v>250111</v>
      </c>
      <c r="C2052" s="646" t="s">
        <v>1862</v>
      </c>
    </row>
    <row r="2053" spans="1:3" ht="15.6" hidden="1" customHeight="1">
      <c r="A2053" s="640" t="str">
        <f>IF('[2]Memória de Cálculo'!A2837&gt;0,'[2]Memória de Cálculo'!A2837,"")</f>
        <v/>
      </c>
      <c r="B2053" s="641">
        <v>250112</v>
      </c>
      <c r="C2053" s="646" t="s">
        <v>1863</v>
      </c>
    </row>
    <row r="2054" spans="1:3" ht="15.6" hidden="1" customHeight="1">
      <c r="A2054" s="640">
        <f>IF('[2]Memória de Cálculo'!A2838&gt;0,'[2]Memória de Cálculo'!A2838,"")</f>
        <v>16</v>
      </c>
      <c r="B2054" s="641">
        <v>250113</v>
      </c>
      <c r="C2054" s="646" t="s">
        <v>1864</v>
      </c>
    </row>
    <row r="2055" spans="1:3">
      <c r="A2055" s="656"/>
      <c r="B2055" s="656"/>
      <c r="C2055" s="656"/>
    </row>
    <row r="2056" spans="1:3" ht="15.6">
      <c r="A2056" s="637">
        <v>16</v>
      </c>
      <c r="B2056" s="662">
        <v>260000</v>
      </c>
      <c r="C2056" s="663" t="s">
        <v>1866</v>
      </c>
    </row>
    <row r="2057" spans="1:3" ht="15.6" hidden="1" customHeight="1">
      <c r="A2057" s="640" t="str">
        <f>IF('[2]Memória de Cálculo'!A2840&gt;0,'[2]Memória de Cálculo'!A2840,"")</f>
        <v/>
      </c>
      <c r="B2057" s="641">
        <v>260101</v>
      </c>
      <c r="C2057" s="646" t="s">
        <v>1867</v>
      </c>
    </row>
    <row r="2058" spans="1:3" ht="15.6" hidden="1" customHeight="1">
      <c r="A2058" s="640" t="str">
        <f>IF('[2]Memória de Cálculo'!A2841&gt;0,'[2]Memória de Cálculo'!A2841,"")</f>
        <v/>
      </c>
      <c r="B2058" s="641">
        <v>260102</v>
      </c>
      <c r="C2058" s="646" t="s">
        <v>1868</v>
      </c>
    </row>
    <row r="2059" spans="1:3" ht="15.6" hidden="1" customHeight="1">
      <c r="A2059" s="640" t="str">
        <f>IF('[2]Memória de Cálculo'!A2842&gt;0,'[2]Memória de Cálculo'!A2842,"")</f>
        <v/>
      </c>
      <c r="B2059" s="641">
        <v>260103</v>
      </c>
      <c r="C2059" s="646" t="s">
        <v>2448</v>
      </c>
    </row>
    <row r="2060" spans="1:3" ht="15.6" hidden="1" customHeight="1">
      <c r="A2060" s="640" t="str">
        <f>IF('[2]Memória de Cálculo'!A2843&gt;0,'[2]Memória de Cálculo'!A2843,"")</f>
        <v/>
      </c>
      <c r="B2060" s="641">
        <v>260104</v>
      </c>
      <c r="C2060" s="646" t="s">
        <v>1870</v>
      </c>
    </row>
    <row r="2061" spans="1:3" ht="15.6" hidden="1" customHeight="1">
      <c r="A2061" s="640" t="str">
        <f>IF('[2]Memória de Cálculo'!A2844&gt;0,'[2]Memória de Cálculo'!A2844,"")</f>
        <v/>
      </c>
      <c r="B2061" s="641">
        <v>260105</v>
      </c>
      <c r="C2061" s="646" t="s">
        <v>1871</v>
      </c>
    </row>
    <row r="2062" spans="1:3" ht="15.6" hidden="1" customHeight="1">
      <c r="A2062" s="640" t="str">
        <f>IF('[2]Memória de Cálculo'!A2845&gt;0,'[2]Memória de Cálculo'!A2845,"")</f>
        <v/>
      </c>
      <c r="B2062" s="641">
        <v>260201</v>
      </c>
      <c r="C2062" s="646" t="s">
        <v>2449</v>
      </c>
    </row>
    <row r="2063" spans="1:3" ht="15.6" hidden="1" customHeight="1">
      <c r="A2063" s="640" t="str">
        <f>IF('[2]Memória de Cálculo'!A2846&gt;0,'[2]Memória de Cálculo'!A2846,"")</f>
        <v/>
      </c>
      <c r="B2063" s="641">
        <v>260202</v>
      </c>
      <c r="C2063" s="646" t="s">
        <v>2450</v>
      </c>
    </row>
    <row r="2064" spans="1:3" ht="15.6" hidden="1" customHeight="1">
      <c r="A2064" s="640" t="str">
        <f>IF('[2]Memória de Cálculo'!A2847&gt;0,'[2]Memória de Cálculo'!A2847,"")</f>
        <v/>
      </c>
      <c r="B2064" s="641">
        <v>260204</v>
      </c>
      <c r="C2064" s="646" t="s">
        <v>1874</v>
      </c>
    </row>
    <row r="2065" spans="1:3" ht="15.6" hidden="1" customHeight="1">
      <c r="A2065" s="640" t="str">
        <f>IF('[2]Memória de Cálculo'!A2848&gt;0,'[2]Memória de Cálculo'!A2848,"")</f>
        <v/>
      </c>
      <c r="B2065" s="641">
        <v>260601</v>
      </c>
      <c r="C2065" s="646" t="s">
        <v>1875</v>
      </c>
    </row>
    <row r="2066" spans="1:3" ht="15.6" hidden="1" customHeight="1">
      <c r="A2066" s="640" t="str">
        <f>IF('[2]Memória de Cálculo'!A2849&gt;0,'[2]Memória de Cálculo'!A2849,"")</f>
        <v/>
      </c>
      <c r="B2066" s="641">
        <v>260801</v>
      </c>
      <c r="C2066" s="646" t="s">
        <v>1876</v>
      </c>
    </row>
    <row r="2067" spans="1:3" ht="15.6" hidden="1" customHeight="1">
      <c r="A2067" s="640" t="str">
        <f>IF('[2]Memória de Cálculo'!A2850&gt;0,'[2]Memória de Cálculo'!A2850,"")</f>
        <v/>
      </c>
      <c r="B2067" s="641">
        <v>260901</v>
      </c>
      <c r="C2067" s="646" t="s">
        <v>1877</v>
      </c>
    </row>
    <row r="2068" spans="1:3" ht="15.6" hidden="1" customHeight="1">
      <c r="A2068" s="640" t="str">
        <f>IF('[2]Memória de Cálculo'!A2851&gt;0,'[2]Memória de Cálculo'!A2851,"")</f>
        <v/>
      </c>
      <c r="B2068" s="641">
        <v>260902</v>
      </c>
      <c r="C2068" s="646" t="s">
        <v>1878</v>
      </c>
    </row>
    <row r="2069" spans="1:3" ht="15.6" hidden="1" customHeight="1">
      <c r="A2069" s="640" t="str">
        <f>IF('[2]Memória de Cálculo'!A2852&gt;0,'[2]Memória de Cálculo'!A2852,"")</f>
        <v/>
      </c>
      <c r="B2069" s="641">
        <v>260909</v>
      </c>
      <c r="C2069" s="646" t="s">
        <v>1879</v>
      </c>
    </row>
    <row r="2070" spans="1:3" ht="15.6" hidden="1" customHeight="1">
      <c r="A2070" s="640" t="str">
        <f>IF('[2]Memória de Cálculo'!A2853&gt;0,'[2]Memória de Cálculo'!A2853,"")</f>
        <v>16.1</v>
      </c>
      <c r="B2070" s="641">
        <v>261000</v>
      </c>
      <c r="C2070" s="646" t="s">
        <v>1880</v>
      </c>
    </row>
    <row r="2071" spans="1:3">
      <c r="A2071" s="640" t="s">
        <v>3653</v>
      </c>
      <c r="B2071" s="641">
        <v>261001</v>
      </c>
      <c r="C2071" s="646" t="s">
        <v>1881</v>
      </c>
    </row>
    <row r="2072" spans="1:3" ht="15.6" hidden="1" customHeight="1">
      <c r="A2072" s="640" t="str">
        <f>IF('[2]Memória de Cálculo'!A2920&gt;0,'[2]Memória de Cálculo'!A2920,"")</f>
        <v/>
      </c>
      <c r="B2072" s="641">
        <v>261002</v>
      </c>
      <c r="C2072" s="646" t="s">
        <v>1882</v>
      </c>
    </row>
    <row r="2073" spans="1:3" ht="15.6" hidden="1" customHeight="1">
      <c r="A2073" s="640" t="str">
        <f>IF('[2]Memória de Cálculo'!A2921&gt;0,'[2]Memória de Cálculo'!A2921,"")</f>
        <v/>
      </c>
      <c r="B2073" s="641">
        <v>261003</v>
      </c>
      <c r="C2073" s="646" t="s">
        <v>1883</v>
      </c>
    </row>
    <row r="2074" spans="1:3" ht="15.6" hidden="1" customHeight="1">
      <c r="A2074" s="640" t="str">
        <f>IF('[2]Memória de Cálculo'!A2922&gt;0,'[2]Memória de Cálculo'!A2922,"")</f>
        <v/>
      </c>
      <c r="B2074" s="641">
        <v>261005</v>
      </c>
      <c r="C2074" s="646" t="s">
        <v>1884</v>
      </c>
    </row>
    <row r="2075" spans="1:3" ht="15.6" hidden="1" customHeight="1">
      <c r="A2075" s="640" t="str">
        <f>IF('[2]Memória de Cálculo'!A2923&gt;0,'[2]Memória de Cálculo'!A2923,"")</f>
        <v/>
      </c>
      <c r="B2075" s="641">
        <v>261006</v>
      </c>
      <c r="C2075" s="646" t="s">
        <v>1885</v>
      </c>
    </row>
    <row r="2076" spans="1:3" ht="15.6" hidden="1" customHeight="1">
      <c r="A2076" s="640" t="str">
        <f>IF('[2]Memória de Cálculo'!A2924&gt;0,'[2]Memória de Cálculo'!A2924,"")</f>
        <v/>
      </c>
      <c r="B2076" s="641">
        <v>261008</v>
      </c>
      <c r="C2076" s="646" t="s">
        <v>1886</v>
      </c>
    </row>
    <row r="2077" spans="1:3" ht="15.6" hidden="1" customHeight="1">
      <c r="A2077" s="640" t="str">
        <f>IF('[2]Memória de Cálculo'!A2925&gt;0,'[2]Memória de Cálculo'!A2925,"")</f>
        <v/>
      </c>
      <c r="B2077" s="641">
        <v>261009</v>
      </c>
      <c r="C2077" s="646" t="s">
        <v>2451</v>
      </c>
    </row>
    <row r="2078" spans="1:3" ht="15.6" hidden="1" customHeight="1">
      <c r="A2078" s="640" t="str">
        <f>IF('[2]Memória de Cálculo'!A2926&gt;0,'[2]Memória de Cálculo'!A2926,"")</f>
        <v>16.2</v>
      </c>
      <c r="B2078" s="641">
        <v>261010</v>
      </c>
      <c r="C2078" s="646" t="s">
        <v>1888</v>
      </c>
    </row>
    <row r="2079" spans="1:3" ht="138.6" customHeight="1">
      <c r="A2079" s="640"/>
      <c r="B2079" s="641"/>
      <c r="C2079" s="646" t="s">
        <v>4967</v>
      </c>
    </row>
    <row r="2080" spans="1:3">
      <c r="A2080" s="656"/>
      <c r="B2080" s="656"/>
      <c r="C2080" s="656"/>
    </row>
    <row r="2081" spans="1:3">
      <c r="A2081" s="640" t="s">
        <v>3654</v>
      </c>
      <c r="B2081" s="641">
        <v>261300</v>
      </c>
      <c r="C2081" s="646" t="s">
        <v>1889</v>
      </c>
    </row>
    <row r="2082" spans="1:3" ht="15.6" hidden="1" customHeight="1">
      <c r="A2082" s="640" t="str">
        <f>IF('[2]Memória de Cálculo'!A3001&gt;0,'[2]Memória de Cálculo'!A3001,"")</f>
        <v/>
      </c>
      <c r="B2082" s="641">
        <v>261301</v>
      </c>
      <c r="C2082" s="646" t="s">
        <v>1890</v>
      </c>
    </row>
    <row r="2083" spans="1:3" ht="15.6" hidden="1" customHeight="1">
      <c r="A2083" s="640" t="str">
        <f>IF('[2]Memória de Cálculo'!A3002&gt;0,'[2]Memória de Cálculo'!A3002,"")</f>
        <v/>
      </c>
      <c r="B2083" s="641">
        <v>261302</v>
      </c>
      <c r="C2083" s="646" t="s">
        <v>1891</v>
      </c>
    </row>
    <row r="2084" spans="1:3" ht="15.6" hidden="1" customHeight="1">
      <c r="A2084" s="640" t="str">
        <f>IF('[2]Memória de Cálculo'!A3003&gt;0,'[2]Memória de Cálculo'!A3003,"")</f>
        <v/>
      </c>
      <c r="B2084" s="641">
        <v>261303</v>
      </c>
      <c r="C2084" s="646" t="s">
        <v>1892</v>
      </c>
    </row>
    <row r="2085" spans="1:3" ht="15.6" hidden="1" customHeight="1">
      <c r="A2085" s="640" t="str">
        <f>IF('[2]Memória de Cálculo'!A3004&gt;0,'[2]Memória de Cálculo'!A3004,"")</f>
        <v/>
      </c>
      <c r="B2085" s="641">
        <v>261304</v>
      </c>
      <c r="C2085" s="646" t="s">
        <v>1893</v>
      </c>
    </row>
    <row r="2086" spans="1:3" ht="15.6" hidden="1" customHeight="1">
      <c r="A2086" s="640" t="str">
        <f>IF('[2]Memória de Cálculo'!A3005&gt;0,'[2]Memória de Cálculo'!A3005,"")</f>
        <v/>
      </c>
      <c r="B2086" s="641">
        <v>261305</v>
      </c>
      <c r="C2086" s="646" t="s">
        <v>1894</v>
      </c>
    </row>
    <row r="2087" spans="1:3" ht="15.6" hidden="1" customHeight="1">
      <c r="A2087" s="640" t="str">
        <f>IF('[2]Memória de Cálculo'!A3006&gt;0,'[2]Memória de Cálculo'!A3006,"")</f>
        <v/>
      </c>
      <c r="B2087" s="641">
        <v>261306</v>
      </c>
      <c r="C2087" s="646" t="s">
        <v>1895</v>
      </c>
    </row>
    <row r="2088" spans="1:3" ht="15.6" hidden="1" customHeight="1">
      <c r="A2088" s="640" t="str">
        <f>IF('[2]Memória de Cálculo'!A3007&gt;0,'[2]Memória de Cálculo'!A3007,"")</f>
        <v/>
      </c>
      <c r="B2088" s="641">
        <v>261307</v>
      </c>
      <c r="C2088" s="646" t="s">
        <v>1896</v>
      </c>
    </row>
    <row r="2089" spans="1:3" ht="15.6" hidden="1" customHeight="1">
      <c r="A2089" s="640" t="str">
        <f>IF('[2]Memória de Cálculo'!A3008&gt;0,'[2]Memória de Cálculo'!A3008,"")</f>
        <v/>
      </c>
      <c r="B2089" s="641">
        <v>261308</v>
      </c>
      <c r="C2089" s="646" t="s">
        <v>1897</v>
      </c>
    </row>
    <row r="2090" spans="1:3" ht="15.6" hidden="1" customHeight="1">
      <c r="A2090" s="640" t="str">
        <f>IF('[2]Memória de Cálculo'!A3009&gt;0,'[2]Memória de Cálculo'!A3009,"")</f>
        <v/>
      </c>
      <c r="B2090" s="641">
        <v>261401</v>
      </c>
      <c r="C2090" s="646" t="s">
        <v>1898</v>
      </c>
    </row>
    <row r="2091" spans="1:3" ht="15.6" hidden="1" customHeight="1">
      <c r="A2091" s="640" t="str">
        <f>IF('[2]Memória de Cálculo'!A3010&gt;0,'[2]Memória de Cálculo'!A3010,"")</f>
        <v/>
      </c>
      <c r="B2091" s="641">
        <v>261501</v>
      </c>
      <c r="C2091" s="646" t="s">
        <v>1899</v>
      </c>
    </row>
    <row r="2092" spans="1:3" ht="15.6" hidden="1" customHeight="1">
      <c r="A2092" s="640" t="str">
        <f>IF('[2]Memória de Cálculo'!A3011&gt;0,'[2]Memória de Cálculo'!A3011,"")</f>
        <v>16.3</v>
      </c>
      <c r="B2092" s="641">
        <v>261502</v>
      </c>
      <c r="C2092" s="646" t="s">
        <v>2452</v>
      </c>
    </row>
    <row r="2093" spans="1:3" ht="158.4">
      <c r="A2093" s="640"/>
      <c r="B2093" s="641"/>
      <c r="C2093" s="646" t="s">
        <v>4968</v>
      </c>
    </row>
    <row r="2094" spans="1:3">
      <c r="A2094" s="656"/>
      <c r="B2094" s="656"/>
      <c r="C2094" s="656"/>
    </row>
    <row r="2095" spans="1:3">
      <c r="A2095" s="640" t="s">
        <v>3671</v>
      </c>
      <c r="B2095" s="641">
        <v>261503</v>
      </c>
      <c r="C2095" s="646" t="s">
        <v>2453</v>
      </c>
    </row>
    <row r="2096" spans="1:3" ht="15.6" hidden="1" customHeight="1">
      <c r="A2096" s="640" t="str">
        <f>IF('[2]Memória de Cálculo'!A3018&gt;0,'[2]Memória de Cálculo'!A3018,"")</f>
        <v/>
      </c>
      <c r="B2096" s="641">
        <v>261504</v>
      </c>
      <c r="C2096" s="646" t="s">
        <v>2454</v>
      </c>
    </row>
    <row r="2097" spans="1:3" ht="15.6" hidden="1" customHeight="1">
      <c r="A2097" s="640" t="str">
        <f>IF('[2]Memória de Cálculo'!A3022&gt;0,'[2]Memória de Cálculo'!A3022,"")</f>
        <v>16.4</v>
      </c>
      <c r="B2097" s="641">
        <v>261548</v>
      </c>
      <c r="C2097" s="646" t="s">
        <v>1903</v>
      </c>
    </row>
    <row r="2098" spans="1:3" ht="172.2" customHeight="1">
      <c r="A2098" s="640"/>
      <c r="B2098" s="641"/>
      <c r="C2098" s="646" t="s">
        <v>4969</v>
      </c>
    </row>
    <row r="2099" spans="1:3">
      <c r="A2099" s="656"/>
      <c r="B2099" s="656"/>
      <c r="C2099" s="656"/>
    </row>
    <row r="2100" spans="1:3">
      <c r="A2100" s="640" t="s">
        <v>3672</v>
      </c>
      <c r="B2100" s="641">
        <v>261550</v>
      </c>
      <c r="C2100" s="646" t="s">
        <v>2455</v>
      </c>
    </row>
    <row r="2101" spans="1:3" ht="15.6" hidden="1" customHeight="1">
      <c r="A2101" s="640" t="str">
        <f>IF('[2]Memória de Cálculo'!A3034&gt;0,'[2]Memória de Cálculo'!A3034,"")</f>
        <v/>
      </c>
      <c r="B2101" s="641">
        <v>261560</v>
      </c>
      <c r="C2101" s="646" t="s">
        <v>1905</v>
      </c>
    </row>
    <row r="2102" spans="1:3" ht="15.6" hidden="1" customHeight="1">
      <c r="A2102" s="640" t="str">
        <f>IF('[2]Memória de Cálculo'!A3035&gt;0,'[2]Memória de Cálculo'!A3035,"")</f>
        <v/>
      </c>
      <c r="B2102" s="641">
        <v>261602</v>
      </c>
      <c r="C2102" s="646" t="s">
        <v>2456</v>
      </c>
    </row>
    <row r="2103" spans="1:3" ht="20.399999999999999" hidden="1" customHeight="1">
      <c r="A2103" s="640" t="str">
        <f>IF('[2]Memória de Cálculo'!A3036&gt;0,'[2]Memória de Cálculo'!A3036,"")</f>
        <v/>
      </c>
      <c r="B2103" s="641">
        <v>261603</v>
      </c>
      <c r="C2103" s="646" t="s">
        <v>2457</v>
      </c>
    </row>
    <row r="2104" spans="1:3" ht="26.4" hidden="1" customHeight="1">
      <c r="A2104" s="640" t="str">
        <f>IF('[2]Memória de Cálculo'!A3037&gt;0,'[2]Memória de Cálculo'!A3037,"")</f>
        <v/>
      </c>
      <c r="B2104" s="641">
        <v>261605</v>
      </c>
      <c r="C2104" s="646" t="s">
        <v>1908</v>
      </c>
    </row>
    <row r="2105" spans="1:3" ht="15.6" hidden="1" customHeight="1">
      <c r="A2105" s="640" t="str">
        <f>IF('[2]Memória de Cálculo'!A3038&gt;0,'[2]Memória de Cálculo'!A3038,"")</f>
        <v/>
      </c>
      <c r="B2105" s="641">
        <v>261606</v>
      </c>
      <c r="C2105" s="646" t="s">
        <v>1909</v>
      </c>
    </row>
    <row r="2106" spans="1:3" ht="15.6" hidden="1" customHeight="1">
      <c r="A2106" s="640" t="str">
        <f>IF('[2]Memória de Cálculo'!A3039&gt;0,'[2]Memória de Cálculo'!A3039,"")</f>
        <v>16.5</v>
      </c>
      <c r="B2106" s="641">
        <v>261607</v>
      </c>
      <c r="C2106" s="646" t="s">
        <v>1910</v>
      </c>
    </row>
    <row r="2107" spans="1:3" ht="165" customHeight="1">
      <c r="A2107" s="640"/>
      <c r="B2107" s="641"/>
      <c r="C2107" s="646" t="s">
        <v>4970</v>
      </c>
    </row>
    <row r="2108" spans="1:3">
      <c r="A2108" s="656"/>
      <c r="B2108" s="656"/>
      <c r="C2108" s="656"/>
    </row>
    <row r="2109" spans="1:3">
      <c r="A2109" s="640" t="s">
        <v>3673</v>
      </c>
      <c r="B2109" s="641">
        <v>261609</v>
      </c>
      <c r="C2109" s="646" t="s">
        <v>2458</v>
      </c>
    </row>
    <row r="2110" spans="1:3" ht="15.6" hidden="1" customHeight="1">
      <c r="A2110" s="640" t="str">
        <f>IF('[2]Memória de Cálculo'!A3048&gt;0,'[2]Memória de Cálculo'!A3048,"")</f>
        <v/>
      </c>
      <c r="B2110" s="641">
        <v>261610</v>
      </c>
      <c r="C2110" s="646" t="s">
        <v>2459</v>
      </c>
    </row>
    <row r="2111" spans="1:3" ht="15.6" hidden="1" customHeight="1">
      <c r="A2111" s="640" t="str">
        <f>IF('[2]Memória de Cálculo'!A3049&gt;0,'[2]Memória de Cálculo'!A3049,"")</f>
        <v/>
      </c>
      <c r="B2111" s="641">
        <v>261611</v>
      </c>
      <c r="C2111" s="646" t="s">
        <v>1913</v>
      </c>
    </row>
    <row r="2112" spans="1:3" ht="15.6" hidden="1" customHeight="1">
      <c r="A2112" s="640" t="str">
        <f>IF('[2]Memória de Cálculo'!A3050&gt;0,'[2]Memória de Cálculo'!A3050,"")</f>
        <v/>
      </c>
      <c r="B2112" s="641">
        <v>261620</v>
      </c>
      <c r="C2112" s="646" t="s">
        <v>1914</v>
      </c>
    </row>
    <row r="2113" spans="1:3" ht="15.6" hidden="1" customHeight="1">
      <c r="A2113" s="640" t="str">
        <f>IF('[2]Memória de Cálculo'!A3051&gt;0,'[2]Memória de Cálculo'!A3051,"")</f>
        <v/>
      </c>
      <c r="B2113" s="641">
        <v>261623</v>
      </c>
      <c r="C2113" s="646" t="s">
        <v>2460</v>
      </c>
    </row>
    <row r="2114" spans="1:3" ht="15.6" hidden="1" customHeight="1">
      <c r="A2114" s="640" t="str">
        <f>IF('[2]Memória de Cálculo'!A3052&gt;0,'[2]Memória de Cálculo'!A3052,"")</f>
        <v>16.6</v>
      </c>
      <c r="B2114" s="641">
        <v>261700</v>
      </c>
      <c r="C2114" s="646" t="s">
        <v>2461</v>
      </c>
    </row>
    <row r="2115" spans="1:3" ht="52.8">
      <c r="A2115" s="640"/>
      <c r="B2115" s="641"/>
      <c r="C2115" s="646" t="s">
        <v>4064</v>
      </c>
    </row>
    <row r="2116" spans="1:3">
      <c r="A2116" s="656"/>
      <c r="B2116" s="656"/>
      <c r="C2116" s="656"/>
    </row>
    <row r="2117" spans="1:3">
      <c r="A2117" s="640" t="s">
        <v>3690</v>
      </c>
      <c r="B2117" s="641">
        <v>261703</v>
      </c>
      <c r="C2117" s="646" t="s">
        <v>2462</v>
      </c>
    </row>
    <row r="2118" spans="1:3" ht="143.4" customHeight="1">
      <c r="A2118" s="640"/>
      <c r="B2118" s="641"/>
      <c r="C2118" s="646" t="s">
        <v>4971</v>
      </c>
    </row>
    <row r="2119" spans="1:3">
      <c r="A2119" s="656"/>
      <c r="B2119" s="656"/>
      <c r="C2119" s="656"/>
    </row>
    <row r="2120" spans="1:3">
      <c r="A2120" s="648" t="s">
        <v>3691</v>
      </c>
      <c r="B2120" s="644" t="s">
        <v>3349</v>
      </c>
      <c r="C2120" s="645" t="s">
        <v>3350</v>
      </c>
    </row>
    <row r="2121" spans="1:3" ht="66">
      <c r="A2121" s="648"/>
      <c r="B2121" s="644"/>
      <c r="C2121" s="645" t="s">
        <v>4065</v>
      </c>
    </row>
    <row r="2122" spans="1:3">
      <c r="A2122" s="656"/>
      <c r="B2122" s="656"/>
      <c r="C2122" s="656"/>
    </row>
    <row r="2123" spans="1:3" ht="15.6">
      <c r="A2123" s="637">
        <v>17</v>
      </c>
      <c r="B2123" s="662">
        <v>270000</v>
      </c>
      <c r="C2123" s="663" t="s">
        <v>1918</v>
      </c>
    </row>
    <row r="2124" spans="1:3" ht="26.4" hidden="1" customHeight="1">
      <c r="A2124" s="640" t="str">
        <f>IF('[2]Memória de Cálculo'!A3076&gt;0,'[2]Memória de Cálculo'!A3076,"")</f>
        <v/>
      </c>
      <c r="B2124" s="641">
        <v>270105</v>
      </c>
      <c r="C2124" s="646" t="s">
        <v>1919</v>
      </c>
    </row>
    <row r="2125" spans="1:3" ht="15.6" hidden="1" customHeight="1">
      <c r="A2125" s="640" t="str">
        <f>IF('[2]Memória de Cálculo'!A3077&gt;0,'[2]Memória de Cálculo'!A3077,"")</f>
        <v/>
      </c>
      <c r="B2125" s="641">
        <v>270202</v>
      </c>
      <c r="C2125" s="646" t="s">
        <v>1920</v>
      </c>
    </row>
    <row r="2126" spans="1:3" ht="26.4" hidden="1" customHeight="1">
      <c r="A2126" s="640" t="str">
        <f>IF('[2]Memória de Cálculo'!A3078&gt;0,'[2]Memória de Cálculo'!A3078,"")</f>
        <v/>
      </c>
      <c r="B2126" s="641">
        <v>270205</v>
      </c>
      <c r="C2126" s="646" t="s">
        <v>1921</v>
      </c>
    </row>
    <row r="2127" spans="1:3" ht="15.6" hidden="1" customHeight="1">
      <c r="A2127" s="640" t="str">
        <f>IF('[2]Memória de Cálculo'!A3079&gt;0,'[2]Memória de Cálculo'!A3079,"")</f>
        <v/>
      </c>
      <c r="B2127" s="641">
        <v>270206</v>
      </c>
      <c r="C2127" s="646" t="s">
        <v>2463</v>
      </c>
    </row>
    <row r="2128" spans="1:3" ht="15.6" hidden="1" customHeight="1">
      <c r="A2128" s="640" t="str">
        <f>IF('[2]Memória de Cálculo'!A3080&gt;0,'[2]Memória de Cálculo'!A3080,"")</f>
        <v/>
      </c>
      <c r="B2128" s="641">
        <v>270207</v>
      </c>
      <c r="C2128" s="646" t="s">
        <v>1923</v>
      </c>
    </row>
    <row r="2129" spans="1:3" ht="26.4" hidden="1" customHeight="1">
      <c r="A2129" s="640" t="str">
        <f>IF('[2]Memória de Cálculo'!A3081&gt;0,'[2]Memória de Cálculo'!A3081,"")</f>
        <v/>
      </c>
      <c r="B2129" s="641">
        <v>270210</v>
      </c>
      <c r="C2129" s="646" t="s">
        <v>1924</v>
      </c>
    </row>
    <row r="2130" spans="1:3" ht="26.4" hidden="1" customHeight="1">
      <c r="A2130" s="640" t="str">
        <f>IF('[2]Memória de Cálculo'!A3082&gt;0,'[2]Memória de Cálculo'!A3082,"")</f>
        <v/>
      </c>
      <c r="B2130" s="641">
        <v>270211</v>
      </c>
      <c r="C2130" s="646" t="s">
        <v>1925</v>
      </c>
    </row>
    <row r="2131" spans="1:3" ht="26.4" hidden="1" customHeight="1">
      <c r="A2131" s="640" t="str">
        <f>IF('[2]Memória de Cálculo'!A3083&gt;0,'[2]Memória de Cálculo'!A3083,"")</f>
        <v/>
      </c>
      <c r="B2131" s="641">
        <v>270212</v>
      </c>
      <c r="C2131" s="646" t="s">
        <v>1926</v>
      </c>
    </row>
    <row r="2132" spans="1:3" ht="26.4" hidden="1" customHeight="1">
      <c r="A2132" s="640" t="str">
        <f>IF('[2]Memória de Cálculo'!A3084&gt;0,'[2]Memória de Cálculo'!A3084,"")</f>
        <v/>
      </c>
      <c r="B2132" s="641">
        <v>270213</v>
      </c>
      <c r="C2132" s="646" t="s">
        <v>1927</v>
      </c>
    </row>
    <row r="2133" spans="1:3" ht="26.4" hidden="1" customHeight="1">
      <c r="A2133" s="640" t="str">
        <f>IF('[2]Memória de Cálculo'!A3085&gt;0,'[2]Memória de Cálculo'!A3085,"")</f>
        <v/>
      </c>
      <c r="B2133" s="641">
        <v>270215</v>
      </c>
      <c r="C2133" s="646" t="s">
        <v>1928</v>
      </c>
    </row>
    <row r="2134" spans="1:3" ht="15.6" hidden="1" customHeight="1">
      <c r="A2134" s="640" t="str">
        <f>IF('[2]Memória de Cálculo'!A3086&gt;0,'[2]Memória de Cálculo'!A3086,"")</f>
        <v/>
      </c>
      <c r="B2134" s="641">
        <v>270230</v>
      </c>
      <c r="C2134" s="646" t="s">
        <v>1929</v>
      </c>
    </row>
    <row r="2135" spans="1:3" ht="15.6" hidden="1" customHeight="1">
      <c r="A2135" s="640" t="str">
        <f>IF('[2]Memória de Cálculo'!A3087&gt;0,'[2]Memória de Cálculo'!A3087,"")</f>
        <v/>
      </c>
      <c r="B2135" s="641">
        <v>270232</v>
      </c>
      <c r="C2135" s="646" t="s">
        <v>1930</v>
      </c>
    </row>
    <row r="2136" spans="1:3" ht="15.6" hidden="1" customHeight="1">
      <c r="A2136" s="640" t="str">
        <f>IF('[2]Memória de Cálculo'!A3088&gt;0,'[2]Memória de Cálculo'!A3088,"")</f>
        <v/>
      </c>
      <c r="B2136" s="641">
        <v>270234</v>
      </c>
      <c r="C2136" s="646" t="s">
        <v>1931</v>
      </c>
    </row>
    <row r="2137" spans="1:3" ht="15.6" hidden="1" customHeight="1">
      <c r="A2137" s="640" t="str">
        <f>IF('[2]Memória de Cálculo'!A3089&gt;0,'[2]Memória de Cálculo'!A3089,"")</f>
        <v>17.1</v>
      </c>
      <c r="B2137" s="641">
        <v>270236</v>
      </c>
      <c r="C2137" s="646" t="s">
        <v>1932</v>
      </c>
    </row>
    <row r="2138" spans="1:3" ht="26.4" hidden="1" customHeight="1">
      <c r="A2138" s="640"/>
      <c r="B2138" s="641">
        <v>270308</v>
      </c>
      <c r="C2138" s="646" t="s">
        <v>2464</v>
      </c>
    </row>
    <row r="2139" spans="1:3" ht="26.4" hidden="1" customHeight="1">
      <c r="A2139" s="640"/>
      <c r="B2139" s="641">
        <v>270310</v>
      </c>
      <c r="C2139" s="647" t="s">
        <v>2465</v>
      </c>
    </row>
    <row r="2140" spans="1:3" ht="26.4" hidden="1" customHeight="1">
      <c r="A2140" s="640"/>
      <c r="B2140" s="641">
        <v>270312</v>
      </c>
      <c r="C2140" s="647" t="s">
        <v>2466</v>
      </c>
    </row>
    <row r="2141" spans="1:3" ht="26.4" hidden="1" customHeight="1">
      <c r="A2141" s="640"/>
      <c r="B2141" s="641">
        <v>270314</v>
      </c>
      <c r="C2141" s="647" t="s">
        <v>2467</v>
      </c>
    </row>
    <row r="2142" spans="1:3">
      <c r="A2142" s="640" t="s">
        <v>3693</v>
      </c>
      <c r="B2142" s="641">
        <v>270501</v>
      </c>
      <c r="C2142" s="646" t="s">
        <v>1933</v>
      </c>
    </row>
    <row r="2143" spans="1:3" ht="15.6" hidden="1" customHeight="1">
      <c r="A2143" s="640" t="str">
        <f>IF('[2]Memória de Cálculo'!A3118&gt;0,'[2]Memória de Cálculo'!A3118,"")</f>
        <v/>
      </c>
      <c r="B2143" s="641">
        <v>270502</v>
      </c>
      <c r="C2143" s="646" t="s">
        <v>2468</v>
      </c>
    </row>
    <row r="2144" spans="1:3" ht="15.6" hidden="1" customHeight="1">
      <c r="A2144" s="640" t="str">
        <f>IF('[2]Memória de Cálculo'!A3119&gt;0,'[2]Memória de Cálculo'!A3119,"")</f>
        <v/>
      </c>
      <c r="B2144" s="641">
        <v>270503</v>
      </c>
      <c r="C2144" s="646" t="s">
        <v>1935</v>
      </c>
    </row>
    <row r="2145" spans="1:3" ht="15.6" hidden="1" customHeight="1">
      <c r="A2145" s="640" t="str">
        <f>IF('[2]Memória de Cálculo'!A3120&gt;0,'[2]Memória de Cálculo'!A3120,"")</f>
        <v/>
      </c>
      <c r="B2145" s="641">
        <v>270504</v>
      </c>
      <c r="C2145" s="646" t="s">
        <v>1936</v>
      </c>
    </row>
    <row r="2146" spans="1:3" ht="15.6" hidden="1" customHeight="1">
      <c r="A2146" s="640" t="str">
        <f>IF('[2]Memória de Cálculo'!A3121&gt;0,'[2]Memória de Cálculo'!A3121,"")</f>
        <v/>
      </c>
      <c r="B2146" s="641">
        <v>270601</v>
      </c>
      <c r="C2146" s="646" t="s">
        <v>1937</v>
      </c>
    </row>
    <row r="2147" spans="1:3" ht="15.6" hidden="1" customHeight="1">
      <c r="A2147" s="640" t="str">
        <f>IF('[2]Memória de Cálculo'!A3122&gt;0,'[2]Memória de Cálculo'!A3122,"")</f>
        <v/>
      </c>
      <c r="B2147" s="641">
        <v>270602</v>
      </c>
      <c r="C2147" s="646" t="s">
        <v>1938</v>
      </c>
    </row>
    <row r="2148" spans="1:3" ht="15.6" hidden="1" customHeight="1">
      <c r="A2148" s="640" t="str">
        <f>IF('[2]Memória de Cálculo'!A3123&gt;0,'[2]Memória de Cálculo'!A3123,"")</f>
        <v/>
      </c>
      <c r="B2148" s="641">
        <v>270603</v>
      </c>
      <c r="C2148" s="646" t="s">
        <v>1939</v>
      </c>
    </row>
    <row r="2149" spans="1:3" ht="15.6" hidden="1" customHeight="1">
      <c r="A2149" s="640" t="str">
        <f>IF('[2]Memória de Cálculo'!A3124&gt;0,'[2]Memória de Cálculo'!A3124,"")</f>
        <v/>
      </c>
      <c r="B2149" s="641">
        <v>270619</v>
      </c>
      <c r="C2149" s="646" t="s">
        <v>1940</v>
      </c>
    </row>
    <row r="2150" spans="1:3" ht="26.4" hidden="1" customHeight="1">
      <c r="A2150" s="640" t="str">
        <f>IF('[2]Memória de Cálculo'!A3125&gt;0,'[2]Memória de Cálculo'!A3125,"")</f>
        <v/>
      </c>
      <c r="B2150" s="641">
        <v>270620</v>
      </c>
      <c r="C2150" s="646" t="s">
        <v>1941</v>
      </c>
    </row>
    <row r="2151" spans="1:3" ht="26.4" hidden="1" customHeight="1">
      <c r="A2151" s="640" t="str">
        <f>IF('[2]Memória de Cálculo'!A3126&gt;0,'[2]Memória de Cálculo'!A3126,"")</f>
        <v/>
      </c>
      <c r="B2151" s="641">
        <v>270621</v>
      </c>
      <c r="C2151" s="646" t="s">
        <v>1942</v>
      </c>
    </row>
    <row r="2152" spans="1:3" ht="15.6" hidden="1" customHeight="1">
      <c r="A2152" s="640" t="str">
        <f>IF('[2]Memória de Cálculo'!A3127&gt;0,'[2]Memória de Cálculo'!A3127,"")</f>
        <v/>
      </c>
      <c r="B2152" s="641">
        <v>270701</v>
      </c>
      <c r="C2152" s="646" t="s">
        <v>1943</v>
      </c>
    </row>
    <row r="2153" spans="1:3" ht="15.6" hidden="1" customHeight="1">
      <c r="A2153" s="640" t="str">
        <f>IF('[2]Memória de Cálculo'!A3128&gt;0,'[2]Memória de Cálculo'!A3128,"")</f>
        <v/>
      </c>
      <c r="B2153" s="641">
        <v>270702</v>
      </c>
      <c r="C2153" s="646" t="s">
        <v>2469</v>
      </c>
    </row>
    <row r="2154" spans="1:3" ht="39.6" hidden="1" customHeight="1">
      <c r="A2154" s="640" t="str">
        <f>IF('[2]Memória de Cálculo'!A3129&gt;0,'[2]Memória de Cálculo'!A3129,"")</f>
        <v/>
      </c>
      <c r="B2154" s="641">
        <v>270704</v>
      </c>
      <c r="C2154" s="646" t="s">
        <v>1945</v>
      </c>
    </row>
    <row r="2155" spans="1:3" ht="26.4" hidden="1" customHeight="1">
      <c r="A2155" s="640" t="str">
        <f>IF('[2]Memória de Cálculo'!A3130&gt;0,'[2]Memória de Cálculo'!A3130,"")</f>
        <v/>
      </c>
      <c r="B2155" s="641">
        <v>270705</v>
      </c>
      <c r="C2155" s="646" t="s">
        <v>2470</v>
      </c>
    </row>
    <row r="2156" spans="1:3" ht="26.4" hidden="1" customHeight="1">
      <c r="A2156" s="640" t="str">
        <f>IF('[2]Memória de Cálculo'!A3132&gt;0,'[2]Memória de Cálculo'!A3132,"")</f>
        <v>17.2</v>
      </c>
      <c r="B2156" s="641">
        <v>270802</v>
      </c>
      <c r="C2156" s="646" t="s">
        <v>1950</v>
      </c>
    </row>
    <row r="2157" spans="1:3" ht="26.4">
      <c r="A2157" s="640"/>
      <c r="B2157" s="641"/>
      <c r="C2157" s="646" t="s">
        <v>4066</v>
      </c>
    </row>
    <row r="2158" spans="1:3">
      <c r="A2158" s="656"/>
      <c r="B2158" s="656"/>
      <c r="C2158" s="656"/>
    </row>
    <row r="2159" spans="1:3">
      <c r="A2159" s="640" t="s">
        <v>3694</v>
      </c>
      <c r="B2159" s="641">
        <v>270804</v>
      </c>
      <c r="C2159" s="646" t="s">
        <v>1951</v>
      </c>
    </row>
    <row r="2160" spans="1:3" ht="15.6" hidden="1" customHeight="1">
      <c r="A2160" s="640" t="str">
        <f>IF('[2]Memória de Cálculo'!A3136&gt;0,'[2]Memória de Cálculo'!A3136,"")</f>
        <v/>
      </c>
      <c r="B2160" s="641">
        <v>270805</v>
      </c>
      <c r="C2160" s="646" t="s">
        <v>1952</v>
      </c>
    </row>
    <row r="2161" spans="1:3" ht="15.6" hidden="1" customHeight="1">
      <c r="A2161" s="640" t="str">
        <f>IF('[2]Memória de Cálculo'!A3137&gt;0,'[2]Memória de Cálculo'!A3137,"")</f>
        <v/>
      </c>
      <c r="B2161" s="641">
        <v>270806</v>
      </c>
      <c r="C2161" s="646" t="s">
        <v>1953</v>
      </c>
    </row>
    <row r="2162" spans="1:3" ht="15.6" hidden="1" customHeight="1">
      <c r="A2162" s="640" t="str">
        <f>IF('[2]Memória de Cálculo'!A3138&gt;0,'[2]Memória de Cálculo'!A3138,"")</f>
        <v/>
      </c>
      <c r="B2162" s="641">
        <v>270807</v>
      </c>
      <c r="C2162" s="646" t="s">
        <v>1954</v>
      </c>
    </row>
    <row r="2163" spans="1:3" ht="15.6" hidden="1" customHeight="1">
      <c r="A2163" s="640" t="str">
        <f>IF('[2]Memória de Cálculo'!A3139&gt;0,'[2]Memória de Cálculo'!A3139,"")</f>
        <v/>
      </c>
      <c r="B2163" s="641">
        <v>270808</v>
      </c>
      <c r="C2163" s="646" t="s">
        <v>1955</v>
      </c>
    </row>
    <row r="2164" spans="1:3" ht="15.6" hidden="1" customHeight="1">
      <c r="A2164" s="640" t="str">
        <f>IF('[2]Memória de Cálculo'!A3140&gt;0,'[2]Memória de Cálculo'!A3140,"")</f>
        <v/>
      </c>
      <c r="B2164" s="641">
        <v>270809</v>
      </c>
      <c r="C2164" s="646" t="s">
        <v>1956</v>
      </c>
    </row>
    <row r="2165" spans="1:3" ht="15.6" hidden="1" customHeight="1">
      <c r="A2165" s="640" t="str">
        <f>IF('[2]Memória de Cálculo'!A3141&gt;0,'[2]Memória de Cálculo'!A3141,"")</f>
        <v/>
      </c>
      <c r="B2165" s="641">
        <v>270810</v>
      </c>
      <c r="C2165" s="646" t="s">
        <v>1957</v>
      </c>
    </row>
    <row r="2166" spans="1:3" ht="15.6" hidden="1" customHeight="1">
      <c r="A2166" s="640" t="str">
        <f>IF('[2]Memória de Cálculo'!A3142&gt;0,'[2]Memória de Cálculo'!A3142,"")</f>
        <v/>
      </c>
      <c r="B2166" s="641">
        <v>270811</v>
      </c>
      <c r="C2166" s="646" t="s">
        <v>1958</v>
      </c>
    </row>
    <row r="2167" spans="1:3" ht="26.4" hidden="1" customHeight="1">
      <c r="A2167" s="640" t="str">
        <f>IF('[2]Memória de Cálculo'!A3143&gt;0,'[2]Memória de Cálculo'!A3143,"")</f>
        <v/>
      </c>
      <c r="B2167" s="641">
        <v>270889</v>
      </c>
      <c r="C2167" s="646" t="s">
        <v>1959</v>
      </c>
    </row>
    <row r="2168" spans="1:3" ht="26.4" hidden="1" customHeight="1">
      <c r="A2168" s="640" t="str">
        <f>IF('[2]Memória de Cálculo'!A3144&gt;0,'[2]Memória de Cálculo'!A3144,"")</f>
        <v/>
      </c>
      <c r="B2168" s="641">
        <v>270890</v>
      </c>
      <c r="C2168" s="646" t="s">
        <v>1960</v>
      </c>
    </row>
    <row r="2169" spans="1:3" ht="26.4" hidden="1" customHeight="1">
      <c r="A2169" s="640" t="str">
        <f>IF('[2]Memória de Cálculo'!A3145&gt;0,'[2]Memória de Cálculo'!A3145,"")</f>
        <v/>
      </c>
      <c r="B2169" s="641">
        <v>270891</v>
      </c>
      <c r="C2169" s="646" t="s">
        <v>1961</v>
      </c>
    </row>
    <row r="2170" spans="1:3" ht="26.4" hidden="1" customHeight="1">
      <c r="A2170" s="640" t="str">
        <f>IF('[2]Memória de Cálculo'!A3146&gt;0,'[2]Memória de Cálculo'!A3146,"")</f>
        <v/>
      </c>
      <c r="B2170" s="641">
        <v>270892</v>
      </c>
      <c r="C2170" s="646" t="s">
        <v>1962</v>
      </c>
    </row>
    <row r="2171" spans="1:3" ht="26.4" hidden="1" customHeight="1">
      <c r="A2171" s="640" t="str">
        <f>IF('[2]Memória de Cálculo'!A3147&gt;0,'[2]Memória de Cálculo'!A3147,"")</f>
        <v/>
      </c>
      <c r="B2171" s="641">
        <v>271098</v>
      </c>
      <c r="C2171" s="646" t="s">
        <v>1963</v>
      </c>
    </row>
    <row r="2172" spans="1:3" ht="26.4" hidden="1" customHeight="1">
      <c r="A2172" s="640" t="str">
        <f>IF('[2]Memória de Cálculo'!A3148&gt;0,'[2]Memória de Cálculo'!A3148,"")</f>
        <v/>
      </c>
      <c r="B2172" s="641">
        <v>271099</v>
      </c>
      <c r="C2172" s="646" t="s">
        <v>1964</v>
      </c>
    </row>
    <row r="2173" spans="1:3" ht="26.4" hidden="1" customHeight="1">
      <c r="A2173" s="640" t="str">
        <f>IF('[2]Memória de Cálculo'!A3149&gt;0,'[2]Memória de Cálculo'!A3149,"")</f>
        <v/>
      </c>
      <c r="B2173" s="641">
        <v>271100</v>
      </c>
      <c r="C2173" s="646" t="s">
        <v>1965</v>
      </c>
    </row>
    <row r="2174" spans="1:3" ht="15.6" hidden="1" customHeight="1">
      <c r="A2174" s="640" t="str">
        <f>IF('[2]Memória de Cálculo'!A3150&gt;0,'[2]Memória de Cálculo'!A3150,"")</f>
        <v/>
      </c>
      <c r="B2174" s="641">
        <v>271101</v>
      </c>
      <c r="C2174" s="647" t="s">
        <v>1966</v>
      </c>
    </row>
    <row r="2175" spans="1:3" ht="26.4" hidden="1" customHeight="1">
      <c r="A2175" s="640" t="str">
        <f>IF('[2]Memória de Cálculo'!A3151&gt;0,'[2]Memória de Cálculo'!A3151,"")</f>
        <v/>
      </c>
      <c r="B2175" s="641">
        <v>271102</v>
      </c>
      <c r="C2175" s="647" t="s">
        <v>1967</v>
      </c>
    </row>
    <row r="2176" spans="1:3" ht="15.6" hidden="1" customHeight="1">
      <c r="A2176" s="640" t="str">
        <f>IF('[2]Memória de Cálculo'!A3152&gt;0,'[2]Memória de Cálculo'!A3152,"")</f>
        <v/>
      </c>
      <c r="B2176" s="641">
        <v>271103</v>
      </c>
      <c r="C2176" s="646" t="s">
        <v>1968</v>
      </c>
    </row>
    <row r="2177" spans="1:3" ht="26.4" hidden="1" customHeight="1">
      <c r="A2177" s="640" t="str">
        <f>IF('[2]Memória de Cálculo'!A3153&gt;0,'[2]Memória de Cálculo'!A3153,"")</f>
        <v/>
      </c>
      <c r="B2177" s="641">
        <v>271105</v>
      </c>
      <c r="C2177" s="646" t="s">
        <v>1969</v>
      </c>
    </row>
    <row r="2178" spans="1:3" ht="26.4" hidden="1" customHeight="1">
      <c r="A2178" s="640" t="str">
        <f>IF('[2]Memória de Cálculo'!A3154&gt;0,'[2]Memória de Cálculo'!A3154,"")</f>
        <v/>
      </c>
      <c r="B2178" s="641">
        <v>271106</v>
      </c>
      <c r="C2178" s="646" t="s">
        <v>1970</v>
      </c>
    </row>
    <row r="2179" spans="1:3" ht="15.6" hidden="1" customHeight="1">
      <c r="A2179" s="640" t="str">
        <f>IF('[2]Memória de Cálculo'!A3155&gt;0,'[2]Memória de Cálculo'!A3155,"")</f>
        <v/>
      </c>
      <c r="B2179" s="641">
        <v>271201</v>
      </c>
      <c r="C2179" s="646" t="s">
        <v>1971</v>
      </c>
    </row>
    <row r="2180" spans="1:3" ht="15.6" hidden="1" customHeight="1">
      <c r="A2180" s="640" t="str">
        <f>IF('[2]Memória de Cálculo'!A3156&gt;0,'[2]Memória de Cálculo'!A3156,"")</f>
        <v/>
      </c>
      <c r="B2180" s="641">
        <v>271204</v>
      </c>
      <c r="C2180" s="646" t="s">
        <v>1972</v>
      </c>
    </row>
    <row r="2181" spans="1:3" ht="15.6" hidden="1" customHeight="1">
      <c r="A2181" s="640" t="str">
        <f>IF('[2]Memória de Cálculo'!A3157&gt;0,'[2]Memória de Cálculo'!A3157,"")</f>
        <v/>
      </c>
      <c r="B2181" s="641">
        <v>271208</v>
      </c>
      <c r="C2181" s="646" t="s">
        <v>1973</v>
      </c>
    </row>
    <row r="2182" spans="1:3" ht="15.6" hidden="1" customHeight="1">
      <c r="A2182" s="640" t="str">
        <f>IF('[2]Memória de Cálculo'!A3158&gt;0,'[2]Memória de Cálculo'!A3158,"")</f>
        <v/>
      </c>
      <c r="B2182" s="641">
        <v>271210</v>
      </c>
      <c r="C2182" s="646" t="s">
        <v>1974</v>
      </c>
    </row>
    <row r="2183" spans="1:3" ht="26.4" hidden="1" customHeight="1">
      <c r="A2183" s="640" t="str">
        <f>IF('[2]Memória de Cálculo'!A3159&gt;0,'[2]Memória de Cálculo'!A3159,"")</f>
        <v/>
      </c>
      <c r="B2183" s="641">
        <v>271303</v>
      </c>
      <c r="C2183" s="646" t="s">
        <v>1975</v>
      </c>
    </row>
    <row r="2184" spans="1:3" ht="15.6" hidden="1" customHeight="1">
      <c r="A2184" s="640" t="str">
        <f>IF('[2]Memória de Cálculo'!A3160&gt;0,'[2]Memória de Cálculo'!A3160,"")</f>
        <v/>
      </c>
      <c r="B2184" s="641">
        <v>271304</v>
      </c>
      <c r="C2184" s="646" t="s">
        <v>1976</v>
      </c>
    </row>
    <row r="2185" spans="1:3" ht="15.6" hidden="1" customHeight="1">
      <c r="A2185" s="640" t="str">
        <f>IF('[2]Memória de Cálculo'!A3161&gt;0,'[2]Memória de Cálculo'!A3161,"")</f>
        <v/>
      </c>
      <c r="B2185" s="641">
        <v>271305</v>
      </c>
      <c r="C2185" s="646" t="s">
        <v>1977</v>
      </c>
    </row>
    <row r="2186" spans="1:3" ht="15.6" hidden="1" customHeight="1">
      <c r="A2186" s="640" t="str">
        <f>IF('[2]Memória de Cálculo'!A3162&gt;0,'[2]Memória de Cálculo'!A3162,"")</f>
        <v/>
      </c>
      <c r="B2186" s="641">
        <v>271306</v>
      </c>
      <c r="C2186" s="646" t="s">
        <v>1978</v>
      </c>
    </row>
    <row r="2187" spans="1:3" ht="26.4" hidden="1" customHeight="1">
      <c r="A2187" s="640" t="str">
        <f>IF('[2]Memória de Cálculo'!A3163&gt;0,'[2]Memória de Cálculo'!A3163,"")</f>
        <v/>
      </c>
      <c r="B2187" s="641">
        <v>271307</v>
      </c>
      <c r="C2187" s="646" t="s">
        <v>1979</v>
      </c>
    </row>
    <row r="2188" spans="1:3" ht="15.6" hidden="1" customHeight="1">
      <c r="A2188" s="640" t="str">
        <f>IF('[2]Memória de Cálculo'!A3164&gt;0,'[2]Memória de Cálculo'!A3164,"")</f>
        <v/>
      </c>
      <c r="B2188" s="641">
        <v>271408</v>
      </c>
      <c r="C2188" s="646" t="s">
        <v>2471</v>
      </c>
    </row>
    <row r="2189" spans="1:3" ht="15.6" hidden="1" customHeight="1">
      <c r="A2189" s="640" t="str">
        <f>IF('[2]Memória de Cálculo'!A3165&gt;0,'[2]Memória de Cálculo'!A3165,"")</f>
        <v/>
      </c>
      <c r="B2189" s="641">
        <v>271409</v>
      </c>
      <c r="C2189" s="646" t="s">
        <v>1981</v>
      </c>
    </row>
    <row r="2190" spans="1:3" ht="15.6" hidden="1" customHeight="1">
      <c r="A2190" s="640" t="str">
        <f>IF('[2]Memória de Cálculo'!A3166&gt;0,'[2]Memória de Cálculo'!A3166,"")</f>
        <v>17.3</v>
      </c>
      <c r="B2190" s="641">
        <v>271417</v>
      </c>
      <c r="C2190" s="646" t="s">
        <v>2472</v>
      </c>
    </row>
    <row r="2191" spans="1:3" ht="39.6">
      <c r="A2191" s="640"/>
      <c r="B2191" s="641"/>
      <c r="C2191" s="646" t="s">
        <v>4067</v>
      </c>
    </row>
    <row r="2192" spans="1:3">
      <c r="A2192" s="656"/>
      <c r="B2192" s="656"/>
      <c r="C2192" s="656"/>
    </row>
    <row r="2193" spans="1:3">
      <c r="A2193" s="640" t="s">
        <v>3695</v>
      </c>
      <c r="B2193" s="641">
        <v>271500</v>
      </c>
      <c r="C2193" s="646" t="s">
        <v>1983</v>
      </c>
    </row>
    <row r="2194" spans="1:3" ht="26.4">
      <c r="A2194" s="640"/>
      <c r="B2194" s="641"/>
      <c r="C2194" s="646" t="s">
        <v>4068</v>
      </c>
    </row>
    <row r="2195" spans="1:3">
      <c r="A2195" s="656"/>
      <c r="B2195" s="656"/>
      <c r="C2195" s="656"/>
    </row>
    <row r="2196" spans="1:3">
      <c r="A2196" s="640" t="s">
        <v>3696</v>
      </c>
      <c r="B2196" s="641">
        <v>271502</v>
      </c>
      <c r="C2196" s="646" t="s">
        <v>1985</v>
      </c>
    </row>
    <row r="2197" spans="1:3" ht="26.4">
      <c r="A2197" s="640"/>
      <c r="B2197" s="641"/>
      <c r="C2197" s="646" t="s">
        <v>4069</v>
      </c>
    </row>
    <row r="2198" spans="1:3">
      <c r="A2198" s="656"/>
      <c r="B2198" s="656"/>
      <c r="C2198" s="656"/>
    </row>
    <row r="2199" spans="1:3">
      <c r="A2199" s="648" t="s">
        <v>3697</v>
      </c>
      <c r="B2199" s="644" t="s">
        <v>3771</v>
      </c>
      <c r="C2199" s="645" t="s">
        <v>2707</v>
      </c>
    </row>
    <row r="2200" spans="1:3" ht="79.2">
      <c r="A2200" s="648"/>
      <c r="B2200" s="644"/>
      <c r="C2200" s="645" t="s">
        <v>4070</v>
      </c>
    </row>
    <row r="2201" spans="1:3">
      <c r="A2201" s="656"/>
      <c r="B2201" s="656"/>
      <c r="C2201" s="656"/>
    </row>
    <row r="2202" spans="1:3">
      <c r="A2202" s="648" t="s">
        <v>3698</v>
      </c>
      <c r="B2202" s="644" t="s">
        <v>2838</v>
      </c>
      <c r="C2202" s="645" t="s">
        <v>2834</v>
      </c>
    </row>
    <row r="2203" spans="1:3">
      <c r="A2203" s="648" t="s">
        <v>3699</v>
      </c>
      <c r="B2203" s="644" t="s">
        <v>2856</v>
      </c>
      <c r="C2203" s="645" t="s">
        <v>2835</v>
      </c>
    </row>
    <row r="2204" spans="1:3" ht="26.4" hidden="1" customHeight="1">
      <c r="A2204" s="640" t="str">
        <f>IF('[2]Memória de Cálculo'!A3175&gt;0,'[2]Memória de Cálculo'!A3175,"")</f>
        <v/>
      </c>
      <c r="B2204" s="641">
        <v>271507</v>
      </c>
      <c r="C2204" s="646" t="s">
        <v>1986</v>
      </c>
    </row>
    <row r="2205" spans="1:3" ht="14.4" hidden="1" customHeight="1">
      <c r="A2205" s="640" t="str">
        <f>IF('[2]Memória de Cálculo'!A3176&gt;0,'[2]Memória de Cálculo'!A3176,"")</f>
        <v/>
      </c>
      <c r="B2205" s="641">
        <v>271508</v>
      </c>
      <c r="C2205" s="646" t="s">
        <v>1987</v>
      </c>
    </row>
    <row r="2206" spans="1:3" ht="14.4" hidden="1" customHeight="1">
      <c r="A2206" s="640" t="str">
        <f>IF('[2]Memória de Cálculo'!A3177&gt;0,'[2]Memória de Cálculo'!A3177,"")</f>
        <v/>
      </c>
      <c r="B2206" s="641">
        <v>271509</v>
      </c>
      <c r="C2206" s="646" t="s">
        <v>1988</v>
      </c>
    </row>
    <row r="2207" spans="1:3" ht="14.4" hidden="1" customHeight="1">
      <c r="A2207" s="640" t="str">
        <f>IF('[2]Memória de Cálculo'!A3178&gt;0,'[2]Memória de Cálculo'!A3178,"")</f>
        <v/>
      </c>
      <c r="B2207" s="641">
        <v>271605</v>
      </c>
      <c r="C2207" s="646" t="s">
        <v>1989</v>
      </c>
    </row>
    <row r="2208" spans="1:3" ht="14.4" hidden="1" customHeight="1">
      <c r="A2208" s="640" t="str">
        <f>IF('[2]Memória de Cálculo'!A3179&gt;0,'[2]Memória de Cálculo'!A3179,"")</f>
        <v/>
      </c>
      <c r="B2208" s="641">
        <v>271608</v>
      </c>
      <c r="C2208" s="646" t="s">
        <v>1990</v>
      </c>
    </row>
    <row r="2209" spans="1:3" ht="14.4" hidden="1" customHeight="1">
      <c r="A2209" s="640" t="str">
        <f>IF('[2]Memória de Cálculo'!A3180&gt;0,'[2]Memória de Cálculo'!A3180,"")</f>
        <v/>
      </c>
      <c r="B2209" s="641">
        <v>271609</v>
      </c>
      <c r="C2209" s="646" t="s">
        <v>1991</v>
      </c>
    </row>
    <row r="2210" spans="1:3" ht="14.4" hidden="1" customHeight="1">
      <c r="A2210" s="640" t="str">
        <f>IF('[2]Memória de Cálculo'!A3181&gt;0,'[2]Memória de Cálculo'!A3181,"")</f>
        <v/>
      </c>
      <c r="B2210" s="641">
        <v>271701</v>
      </c>
      <c r="C2210" s="646" t="s">
        <v>1992</v>
      </c>
    </row>
    <row r="2211" spans="1:3" ht="14.4" hidden="1" customHeight="1">
      <c r="A2211" s="640" t="str">
        <f>IF('[2]Memória de Cálculo'!A3182&gt;0,'[2]Memória de Cálculo'!A3182,"")</f>
        <v/>
      </c>
      <c r="B2211" s="641">
        <v>271702</v>
      </c>
      <c r="C2211" s="646" t="s">
        <v>1993</v>
      </c>
    </row>
    <row r="2212" spans="1:3" ht="39.6" hidden="1" customHeight="1">
      <c r="A2212" s="640" t="str">
        <f>IF('[2]Memória de Cálculo'!A3183&gt;0,'[2]Memória de Cálculo'!A3183,"")</f>
        <v/>
      </c>
      <c r="B2212" s="641">
        <v>271708</v>
      </c>
      <c r="C2212" s="646" t="s">
        <v>1994</v>
      </c>
    </row>
    <row r="2213" spans="1:3" ht="39.6" hidden="1" customHeight="1">
      <c r="A2213" s="640" t="str">
        <f>IF('[2]Memória de Cálculo'!A3184&gt;0,'[2]Memória de Cálculo'!A3184,"")</f>
        <v/>
      </c>
      <c r="B2213" s="641">
        <v>271711</v>
      </c>
      <c r="C2213" s="647" t="s">
        <v>1995</v>
      </c>
    </row>
    <row r="2214" spans="1:3" ht="39.6" hidden="1" customHeight="1">
      <c r="A2214" s="640" t="str">
        <f>IF('[2]Memória de Cálculo'!A3185&gt;0,'[2]Memória de Cálculo'!A3185,"")</f>
        <v/>
      </c>
      <c r="B2214" s="641">
        <v>271712</v>
      </c>
      <c r="C2214" s="647" t="s">
        <v>1996</v>
      </c>
    </row>
    <row r="2215" spans="1:3" ht="39.6" hidden="1" customHeight="1">
      <c r="A2215" s="640" t="str">
        <f>IF('[2]Memória de Cálculo'!A3186&gt;0,'[2]Memória de Cálculo'!A3186,"")</f>
        <v/>
      </c>
      <c r="B2215" s="641">
        <v>271713</v>
      </c>
      <c r="C2215" s="646" t="s">
        <v>1997</v>
      </c>
    </row>
    <row r="2216" spans="1:3" ht="39.6" hidden="1" customHeight="1">
      <c r="A2216" s="640" t="str">
        <f>IF('[2]Memória de Cálculo'!A3187&gt;0,'[2]Memória de Cálculo'!A3187,"")</f>
        <v/>
      </c>
      <c r="B2216" s="641">
        <v>271714</v>
      </c>
      <c r="C2216" s="646" t="s">
        <v>1998</v>
      </c>
    </row>
    <row r="2217" spans="1:3" ht="39.6" hidden="1" customHeight="1">
      <c r="A2217" s="640" t="str">
        <f>IF('[2]Memória de Cálculo'!A3188&gt;0,'[2]Memória de Cálculo'!A3188,"")</f>
        <v/>
      </c>
      <c r="B2217" s="641">
        <v>271715</v>
      </c>
      <c r="C2217" s="647" t="s">
        <v>1999</v>
      </c>
    </row>
    <row r="2218" spans="1:3" ht="14.4" hidden="1" customHeight="1">
      <c r="A2218" s="640" t="str">
        <f>IF('[2]Memória de Cálculo'!A3189&gt;0,'[2]Memória de Cálculo'!A3189,"")</f>
        <v/>
      </c>
      <c r="B2218" s="641">
        <v>271716</v>
      </c>
      <c r="C2218" s="646" t="s">
        <v>2000</v>
      </c>
    </row>
    <row r="2219" spans="1:3" ht="14.4" hidden="1" customHeight="1">
      <c r="A2219" s="640" t="str">
        <f>IF('[2]Memória de Cálculo'!A3190&gt;0,'[2]Memória de Cálculo'!A3190,"")</f>
        <v/>
      </c>
      <c r="B2219" s="641">
        <v>271717</v>
      </c>
      <c r="C2219" s="646" t="s">
        <v>2001</v>
      </c>
    </row>
    <row r="2220" spans="1:3" ht="14.4" hidden="1" customHeight="1">
      <c r="A2220" s="640" t="str">
        <f>IF('[2]Memória de Cálculo'!A3191&gt;0,'[2]Memória de Cálculo'!A3191,"")</f>
        <v/>
      </c>
      <c r="B2220" s="641">
        <v>271718</v>
      </c>
      <c r="C2220" s="646" t="s">
        <v>2002</v>
      </c>
    </row>
    <row r="2221" spans="1:3" ht="14.4" hidden="1" customHeight="1">
      <c r="A2221" s="640" t="str">
        <f>IF('[2]Memória de Cálculo'!A3192&gt;0,'[2]Memória de Cálculo'!A3192,"")</f>
        <v/>
      </c>
      <c r="B2221" s="641">
        <v>271801</v>
      </c>
      <c r="C2221" s="646" t="s">
        <v>2003</v>
      </c>
    </row>
    <row r="2222" spans="1:3" ht="14.4" hidden="1" customHeight="1">
      <c r="A2222" s="640" t="str">
        <f>IF('[2]Memória de Cálculo'!A3193&gt;0,'[2]Memória de Cálculo'!A3193,"")</f>
        <v/>
      </c>
      <c r="B2222" s="641">
        <v>271802</v>
      </c>
      <c r="C2222" s="646" t="s">
        <v>2004</v>
      </c>
    </row>
    <row r="2223" spans="1:3" ht="14.4" hidden="1" customHeight="1">
      <c r="A2223" s="640" t="str">
        <f>IF('[2]Memória de Cálculo'!A3194&gt;0,'[2]Memória de Cálculo'!A3194,"")</f>
        <v/>
      </c>
      <c r="B2223" s="641">
        <v>271803</v>
      </c>
      <c r="C2223" s="646" t="s">
        <v>2005</v>
      </c>
    </row>
    <row r="2224" spans="1:3" ht="14.4" hidden="1" customHeight="1">
      <c r="A2224" s="640" t="str">
        <f>IF('[2]Memória de Cálculo'!A3195&gt;0,'[2]Memória de Cálculo'!A3195,"")</f>
        <v/>
      </c>
      <c r="B2224" s="641">
        <v>271850</v>
      </c>
      <c r="C2224" s="646" t="s">
        <v>2006</v>
      </c>
    </row>
    <row r="2225" spans="1:3" ht="14.4" hidden="1" customHeight="1">
      <c r="A2225" s="640" t="str">
        <f>IF('[2]Memória de Cálculo'!A3196&gt;0,'[2]Memória de Cálculo'!A3196,"")</f>
        <v/>
      </c>
      <c r="B2225" s="641">
        <v>271851</v>
      </c>
      <c r="C2225" s="646" t="s">
        <v>2007</v>
      </c>
    </row>
    <row r="2226" spans="1:3" ht="14.4" hidden="1" customHeight="1">
      <c r="A2226" s="640" t="str">
        <f>IF('[2]Memória de Cálculo'!A3197&gt;0,'[2]Memória de Cálculo'!A3197,"")</f>
        <v/>
      </c>
      <c r="B2226" s="641">
        <v>271852</v>
      </c>
      <c r="C2226" s="646" t="s">
        <v>2008</v>
      </c>
    </row>
    <row r="2227" spans="1:3" ht="14.4" hidden="1" customHeight="1">
      <c r="A2227" s="640" t="str">
        <f>IF('[2]Memória de Cálculo'!A3198&gt;0,'[2]Memória de Cálculo'!A3198,"")</f>
        <v/>
      </c>
      <c r="B2227" s="641">
        <v>271853</v>
      </c>
      <c r="C2227" s="646" t="s">
        <v>2009</v>
      </c>
    </row>
    <row r="2228" spans="1:3" ht="39.6">
      <c r="A2228" s="640"/>
      <c r="B2228" s="641"/>
      <c r="C2228" s="646" t="s">
        <v>4071</v>
      </c>
    </row>
    <row r="2229" spans="1:3">
      <c r="A2229" s="656"/>
      <c r="B2229" s="656"/>
      <c r="C2229" s="656"/>
    </row>
    <row r="2230" spans="1:3">
      <c r="A2230" s="648" t="s">
        <v>3700</v>
      </c>
      <c r="B2230" s="644" t="s">
        <v>2869</v>
      </c>
      <c r="C2230" s="645" t="s">
        <v>2868</v>
      </c>
    </row>
    <row r="2231" spans="1:3" ht="39.6">
      <c r="A2231" s="648"/>
      <c r="B2231" s="644"/>
      <c r="C2231" s="645" t="s">
        <v>4072</v>
      </c>
    </row>
    <row r="2232" spans="1:3">
      <c r="A2232" s="656"/>
      <c r="B2232" s="656"/>
      <c r="C2232" s="656"/>
    </row>
    <row r="2233" spans="1:3">
      <c r="A2233" s="648" t="s">
        <v>3701</v>
      </c>
      <c r="B2233" s="644" t="s">
        <v>2884</v>
      </c>
      <c r="C2233" s="645" t="s">
        <v>2883</v>
      </c>
    </row>
    <row r="2234" spans="1:3" ht="52.8">
      <c r="A2234" s="648"/>
      <c r="B2234" s="644"/>
      <c r="C2234" s="645" t="s">
        <v>4073</v>
      </c>
    </row>
    <row r="2235" spans="1:3">
      <c r="A2235" s="656"/>
      <c r="B2235" s="656"/>
      <c r="C2235" s="656"/>
    </row>
    <row r="2236" spans="1:3" ht="39.6">
      <c r="A2236" s="664" t="s">
        <v>3702</v>
      </c>
      <c r="B2236" s="644" t="s">
        <v>2857</v>
      </c>
      <c r="C2236" s="645" t="s">
        <v>3297</v>
      </c>
    </row>
    <row r="2237" spans="1:3" ht="39.6">
      <c r="A2237" s="664" t="s">
        <v>3703</v>
      </c>
      <c r="B2237" s="644" t="s">
        <v>3772</v>
      </c>
      <c r="C2237" s="645" t="s">
        <v>3300</v>
      </c>
    </row>
    <row r="2238" spans="1:3" ht="26.4">
      <c r="A2238" s="664" t="s">
        <v>3704</v>
      </c>
      <c r="B2238" s="644" t="s">
        <v>3773</v>
      </c>
      <c r="C2238" s="645" t="s">
        <v>3307</v>
      </c>
    </row>
    <row r="2239" spans="1:3" ht="39.6">
      <c r="A2239" s="664"/>
      <c r="B2239" s="644"/>
      <c r="C2239" s="645" t="s">
        <v>4074</v>
      </c>
    </row>
    <row r="2240" spans="1:3">
      <c r="A2240" s="656"/>
      <c r="B2240" s="656"/>
      <c r="C2240" s="656"/>
    </row>
    <row r="2241" spans="1:3">
      <c r="A2241" s="664" t="s">
        <v>3705</v>
      </c>
      <c r="B2241" s="644" t="s">
        <v>3774</v>
      </c>
      <c r="C2241" s="645" t="s">
        <v>3323</v>
      </c>
    </row>
    <row r="2242" spans="1:3" ht="79.2">
      <c r="A2242" s="664"/>
      <c r="B2242" s="644"/>
      <c r="C2242" s="645" t="s">
        <v>4951</v>
      </c>
    </row>
    <row r="2243" spans="1:3">
      <c r="A2243" s="664"/>
      <c r="B2243" s="644"/>
      <c r="C2243" s="645"/>
    </row>
    <row r="2244" spans="1:3">
      <c r="A2244" s="664" t="s">
        <v>3706</v>
      </c>
      <c r="B2244" s="644" t="s">
        <v>3775</v>
      </c>
      <c r="C2244" s="645" t="s">
        <v>3324</v>
      </c>
    </row>
    <row r="2245" spans="1:3" ht="96.6" customHeight="1">
      <c r="A2245" s="664"/>
      <c r="B2245" s="644"/>
      <c r="C2245" s="645" t="s">
        <v>4952</v>
      </c>
    </row>
    <row r="2246" spans="1:3">
      <c r="A2246" s="656"/>
      <c r="B2246" s="656"/>
      <c r="C2246" s="656"/>
    </row>
    <row r="2247" spans="1:3">
      <c r="A2247" s="664" t="s">
        <v>3714</v>
      </c>
      <c r="B2247" s="644" t="s">
        <v>3776</v>
      </c>
      <c r="C2247" s="645" t="s">
        <v>3325</v>
      </c>
    </row>
    <row r="2248" spans="1:3" ht="39.6">
      <c r="A2248" s="664"/>
      <c r="B2248" s="644"/>
      <c r="C2248" s="645" t="s">
        <v>4075</v>
      </c>
    </row>
    <row r="2249" spans="1:3">
      <c r="A2249" s="656"/>
      <c r="B2249" s="656"/>
      <c r="C2249" s="656"/>
    </row>
    <row r="2250" spans="1:3" ht="26.4">
      <c r="A2250" s="648" t="s">
        <v>3852</v>
      </c>
      <c r="B2250" s="644" t="s">
        <v>3777</v>
      </c>
      <c r="C2250" s="645" t="s">
        <v>3330</v>
      </c>
    </row>
    <row r="2251" spans="1:3" ht="66">
      <c r="A2251" s="648"/>
      <c r="B2251" s="644"/>
      <c r="C2251" s="645" t="s">
        <v>4953</v>
      </c>
    </row>
    <row r="2252" spans="1:3">
      <c r="A2252" s="648"/>
      <c r="B2252" s="644"/>
      <c r="C2252" s="645"/>
    </row>
    <row r="2253" spans="1:3" ht="26.4">
      <c r="A2253" s="664" t="s">
        <v>3853</v>
      </c>
      <c r="B2253" s="644" t="s">
        <v>3778</v>
      </c>
      <c r="C2253" s="645" t="s">
        <v>3331</v>
      </c>
    </row>
    <row r="2254" spans="1:3" ht="66">
      <c r="A2254" s="664"/>
      <c r="B2254" s="644"/>
      <c r="C2254" s="645" t="s">
        <v>4954</v>
      </c>
    </row>
    <row r="2255" spans="1:3">
      <c r="A2255" s="656"/>
      <c r="B2255" s="656"/>
      <c r="C2255" s="656"/>
    </row>
    <row r="2256" spans="1:3" ht="39.6">
      <c r="A2256" s="665" t="s">
        <v>3854</v>
      </c>
      <c r="B2256" s="644" t="s">
        <v>3779</v>
      </c>
      <c r="C2256" s="645" t="s">
        <v>3334</v>
      </c>
    </row>
    <row r="2257" spans="1:3" ht="118.8">
      <c r="A2257" s="664"/>
      <c r="B2257" s="644"/>
      <c r="C2257" s="645" t="s">
        <v>4076</v>
      </c>
    </row>
    <row r="2258" spans="1:3">
      <c r="A2258" s="656"/>
      <c r="B2258" s="656"/>
      <c r="C2258" s="656"/>
    </row>
    <row r="2259" spans="1:3" ht="26.4">
      <c r="A2259" s="664" t="s">
        <v>3855</v>
      </c>
      <c r="B2259" s="644" t="s">
        <v>3780</v>
      </c>
      <c r="C2259" s="645" t="s">
        <v>3337</v>
      </c>
    </row>
    <row r="2260" spans="1:3" ht="52.8">
      <c r="A2260" s="664"/>
      <c r="B2260" s="644"/>
      <c r="C2260" s="645" t="s">
        <v>4077</v>
      </c>
    </row>
    <row r="2261" spans="1:3">
      <c r="A2261" s="656"/>
      <c r="B2261" s="656"/>
      <c r="C2261" s="656"/>
    </row>
    <row r="2262" spans="1:3">
      <c r="A2262" s="664" t="s">
        <v>3856</v>
      </c>
      <c r="B2262" s="644" t="s">
        <v>3781</v>
      </c>
      <c r="C2262" s="645" t="s">
        <v>3339</v>
      </c>
    </row>
    <row r="2263" spans="1:3" ht="52.8">
      <c r="A2263" s="664"/>
      <c r="B2263" s="644"/>
      <c r="C2263" s="645" t="s">
        <v>4955</v>
      </c>
    </row>
    <row r="2264" spans="1:3">
      <c r="A2264" s="664"/>
      <c r="B2264" s="644"/>
      <c r="C2264" s="645"/>
    </row>
    <row r="2265" spans="1:3" ht="26.4">
      <c r="A2265" s="664" t="s">
        <v>3857</v>
      </c>
      <c r="B2265" s="644" t="s">
        <v>2859</v>
      </c>
      <c r="C2265" s="645" t="s">
        <v>3341</v>
      </c>
    </row>
    <row r="2266" spans="1:3" ht="26.4">
      <c r="A2266" s="664"/>
      <c r="B2266" s="644"/>
      <c r="C2266" s="645" t="s">
        <v>4956</v>
      </c>
    </row>
    <row r="2267" spans="1:3">
      <c r="A2267" s="656"/>
      <c r="B2267" s="656"/>
      <c r="C2267" s="656"/>
    </row>
    <row r="2268" spans="1:3">
      <c r="A2268" s="664" t="s">
        <v>3858</v>
      </c>
      <c r="B2268" s="644" t="s">
        <v>3457</v>
      </c>
      <c r="C2268" s="645" t="s">
        <v>4078</v>
      </c>
    </row>
    <row r="2269" spans="1:3" ht="39.6">
      <c r="A2269" s="664"/>
      <c r="B2269" s="644"/>
      <c r="C2269" s="645" t="s">
        <v>4079</v>
      </c>
    </row>
    <row r="2270" spans="1:3">
      <c r="A2270" s="656"/>
      <c r="B2270" s="656"/>
      <c r="C2270" s="656"/>
    </row>
    <row r="2271" spans="1:3">
      <c r="A2271" s="648" t="s">
        <v>3859</v>
      </c>
      <c r="B2271" s="644" t="s">
        <v>3915</v>
      </c>
      <c r="C2271" s="645" t="s">
        <v>3758</v>
      </c>
    </row>
    <row r="2272" spans="1:3" ht="39.6">
      <c r="A2272" s="648"/>
      <c r="B2272" s="644"/>
      <c r="C2272" s="645" t="s">
        <v>4080</v>
      </c>
    </row>
    <row r="2273" spans="1:3">
      <c r="A2273" s="648"/>
      <c r="B2273" s="644"/>
      <c r="C2273" s="645"/>
    </row>
    <row r="2274" spans="1:3">
      <c r="A2274" s="648" t="s">
        <v>3860</v>
      </c>
      <c r="B2274" s="644" t="s">
        <v>3458</v>
      </c>
      <c r="C2274" s="645" t="s">
        <v>3757</v>
      </c>
    </row>
    <row r="2275" spans="1:3" ht="26.4">
      <c r="A2275" s="648"/>
      <c r="B2275" s="644"/>
      <c r="C2275" s="645" t="s">
        <v>4081</v>
      </c>
    </row>
    <row r="2276" spans="1:3">
      <c r="A2276" s="656"/>
      <c r="B2276" s="656"/>
      <c r="C2276" s="656"/>
    </row>
    <row r="2277" spans="1:3">
      <c r="A2277" s="637">
        <v>18</v>
      </c>
      <c r="B2277" s="666">
        <v>280000</v>
      </c>
      <c r="C2277" s="667" t="s">
        <v>2726</v>
      </c>
    </row>
    <row r="2278" spans="1:3" ht="26.4">
      <c r="A2278" s="648" t="s">
        <v>3861</v>
      </c>
      <c r="B2278" s="644" t="s">
        <v>2497</v>
      </c>
      <c r="C2278" s="645" t="s">
        <v>2720</v>
      </c>
    </row>
    <row r="2279" spans="1:3" ht="26.4">
      <c r="A2279" s="648" t="s">
        <v>3862</v>
      </c>
      <c r="B2279" s="644" t="s">
        <v>2498</v>
      </c>
      <c r="C2279" s="645" t="s">
        <v>2721</v>
      </c>
    </row>
    <row r="2280" spans="1:3" ht="26.4">
      <c r="A2280" s="648" t="s">
        <v>3863</v>
      </c>
      <c r="B2280" s="644" t="s">
        <v>2568</v>
      </c>
      <c r="C2280" s="645" t="s">
        <v>2722</v>
      </c>
    </row>
    <row r="2281" spans="1:3" ht="26.4">
      <c r="A2281" s="648" t="s">
        <v>3864</v>
      </c>
      <c r="B2281" s="644" t="s">
        <v>2569</v>
      </c>
      <c r="C2281" s="645" t="s">
        <v>3918</v>
      </c>
    </row>
    <row r="2282" spans="1:3" ht="26.4">
      <c r="A2282" s="648" t="s">
        <v>3865</v>
      </c>
      <c r="B2282" s="644" t="s">
        <v>2570</v>
      </c>
      <c r="C2282" s="645" t="s">
        <v>2724</v>
      </c>
    </row>
    <row r="2283" spans="1:3" ht="26.4">
      <c r="A2283" s="648" t="s">
        <v>3866</v>
      </c>
      <c r="B2283" s="644" t="s">
        <v>2576</v>
      </c>
      <c r="C2283" s="645" t="s">
        <v>2725</v>
      </c>
    </row>
    <row r="2284" spans="1:3" ht="26.4">
      <c r="A2284" s="648" t="s">
        <v>3867</v>
      </c>
      <c r="B2284" s="644" t="s">
        <v>2590</v>
      </c>
      <c r="C2284" s="645" t="s">
        <v>2727</v>
      </c>
    </row>
    <row r="2285" spans="1:3" ht="72" customHeight="1">
      <c r="A2285" s="648"/>
      <c r="B2285" s="644"/>
      <c r="C2285" s="645" t="s">
        <v>4082</v>
      </c>
    </row>
    <row r="2286" spans="1:3">
      <c r="A2286" s="656"/>
      <c r="B2286" s="656"/>
      <c r="C2286" s="656"/>
    </row>
    <row r="2287" spans="1:3" ht="26.4">
      <c r="A2287" s="648" t="s">
        <v>4083</v>
      </c>
      <c r="B2287" s="644" t="s">
        <v>2774</v>
      </c>
      <c r="C2287" s="645" t="s">
        <v>3907</v>
      </c>
    </row>
    <row r="2288" spans="1:3" ht="39.6">
      <c r="A2288" s="648" t="s">
        <v>4084</v>
      </c>
      <c r="B2288" s="644" t="s">
        <v>2775</v>
      </c>
      <c r="C2288" s="645" t="s">
        <v>3908</v>
      </c>
    </row>
    <row r="2289" spans="1:3" ht="26.4">
      <c r="A2289" s="648" t="s">
        <v>3870</v>
      </c>
      <c r="B2289" s="644" t="s">
        <v>2776</v>
      </c>
      <c r="C2289" s="645" t="s">
        <v>3909</v>
      </c>
    </row>
    <row r="2290" spans="1:3" ht="26.4">
      <c r="A2290" s="648" t="s">
        <v>3871</v>
      </c>
      <c r="B2290" s="644" t="s">
        <v>2777</v>
      </c>
      <c r="C2290" s="645" t="s">
        <v>3910</v>
      </c>
    </row>
    <row r="2291" spans="1:3" ht="26.4">
      <c r="A2291" s="648" t="s">
        <v>3872</v>
      </c>
      <c r="B2291" s="644" t="s">
        <v>3707</v>
      </c>
      <c r="C2291" s="645" t="s">
        <v>3889</v>
      </c>
    </row>
    <row r="2292" spans="1:3" ht="66">
      <c r="A2292" s="648"/>
      <c r="B2292" s="644"/>
      <c r="C2292" s="645" t="s">
        <v>4085</v>
      </c>
    </row>
    <row r="2293" spans="1:3">
      <c r="A2293" s="656"/>
      <c r="B2293" s="656"/>
      <c r="C2293" s="656"/>
    </row>
    <row r="2294" spans="1:3">
      <c r="A2294" s="648" t="s">
        <v>3873</v>
      </c>
      <c r="B2294" s="644" t="s">
        <v>3169</v>
      </c>
      <c r="C2294" s="645" t="s">
        <v>3321</v>
      </c>
    </row>
    <row r="2295" spans="1:3">
      <c r="A2295" s="648"/>
      <c r="B2295" s="644"/>
      <c r="C2295" s="645" t="s">
        <v>4957</v>
      </c>
    </row>
    <row r="2296" spans="1:3">
      <c r="A2296" s="648"/>
      <c r="B2296" s="644"/>
      <c r="C2296" s="645"/>
    </row>
    <row r="2297" spans="1:3">
      <c r="A2297" s="668" t="s">
        <v>3874</v>
      </c>
      <c r="B2297" s="644" t="s">
        <v>3170</v>
      </c>
      <c r="C2297" s="669" t="s">
        <v>3172</v>
      </c>
    </row>
    <row r="2298" spans="1:3" ht="27">
      <c r="A2298" s="668" t="s">
        <v>3875</v>
      </c>
      <c r="B2298" s="644" t="s">
        <v>3173</v>
      </c>
      <c r="C2298" s="669" t="s">
        <v>3174</v>
      </c>
    </row>
    <row r="2299" spans="1:3" ht="27">
      <c r="A2299" s="668"/>
      <c r="B2299" s="644"/>
      <c r="C2299" s="669" t="s">
        <v>4958</v>
      </c>
    </row>
    <row r="2300" spans="1:3">
      <c r="A2300" s="668"/>
      <c r="B2300" s="644"/>
      <c r="C2300" s="669"/>
    </row>
    <row r="2301" spans="1:3">
      <c r="A2301" s="668" t="s">
        <v>3876</v>
      </c>
      <c r="B2301" s="644" t="s">
        <v>3175</v>
      </c>
      <c r="C2301" s="669" t="s">
        <v>3176</v>
      </c>
    </row>
    <row r="2302" spans="1:3" ht="27">
      <c r="A2302" s="668"/>
      <c r="B2302" s="644"/>
      <c r="C2302" s="669" t="s">
        <v>4959</v>
      </c>
    </row>
    <row r="2303" spans="1:3">
      <c r="A2303" s="668"/>
      <c r="B2303" s="644"/>
      <c r="C2303" s="669"/>
    </row>
    <row r="2304" spans="1:3" ht="27">
      <c r="A2304" s="668" t="s">
        <v>3877</v>
      </c>
      <c r="B2304" s="644" t="s">
        <v>3177</v>
      </c>
      <c r="C2304" s="669" t="s">
        <v>3182</v>
      </c>
    </row>
    <row r="2305" spans="1:3">
      <c r="A2305" s="668" t="s">
        <v>3878</v>
      </c>
      <c r="B2305" s="644" t="s">
        <v>3178</v>
      </c>
      <c r="C2305" s="669" t="s">
        <v>3181</v>
      </c>
    </row>
    <row r="2306" spans="1:3" ht="27">
      <c r="A2306" s="668"/>
      <c r="B2306" s="644"/>
      <c r="C2306" s="669" t="s">
        <v>4960</v>
      </c>
    </row>
    <row r="2307" spans="1:3">
      <c r="A2307" s="668"/>
      <c r="B2307" s="644"/>
      <c r="C2307" s="669"/>
    </row>
    <row r="2308" spans="1:3">
      <c r="A2308" s="668" t="s">
        <v>3879</v>
      </c>
      <c r="B2308" s="644" t="s">
        <v>3179</v>
      </c>
      <c r="C2308" s="669" t="s">
        <v>3180</v>
      </c>
    </row>
    <row r="2309" spans="1:3" ht="27">
      <c r="A2309" s="668"/>
      <c r="B2309" s="644"/>
      <c r="C2309" s="669" t="s">
        <v>4961</v>
      </c>
    </row>
    <row r="2310" spans="1:3">
      <c r="A2310" s="668"/>
      <c r="B2310" s="644"/>
      <c r="C2310" s="669"/>
    </row>
    <row r="2311" spans="1:3" ht="27">
      <c r="A2311" s="668" t="s">
        <v>3880</v>
      </c>
      <c r="B2311" s="644" t="s">
        <v>3183</v>
      </c>
      <c r="C2311" s="669" t="s">
        <v>3184</v>
      </c>
    </row>
    <row r="2312" spans="1:3" ht="27">
      <c r="A2312" s="668" t="s">
        <v>3881</v>
      </c>
      <c r="B2312" s="644" t="s">
        <v>3185</v>
      </c>
      <c r="C2312" s="669" t="s">
        <v>3186</v>
      </c>
    </row>
    <row r="2313" spans="1:3" ht="27">
      <c r="A2313" s="668"/>
      <c r="B2313" s="644"/>
      <c r="C2313" s="669" t="s">
        <v>4962</v>
      </c>
    </row>
    <row r="2314" spans="1:3">
      <c r="A2314" s="668"/>
      <c r="B2314" s="644"/>
      <c r="C2314" s="669"/>
    </row>
    <row r="2315" spans="1:3" ht="27">
      <c r="A2315" s="668" t="s">
        <v>3882</v>
      </c>
      <c r="B2315" s="644" t="s">
        <v>3187</v>
      </c>
      <c r="C2315" s="669" t="s">
        <v>3188</v>
      </c>
    </row>
    <row r="2316" spans="1:3" ht="27">
      <c r="A2316" s="668"/>
      <c r="B2316" s="644"/>
      <c r="C2316" s="669" t="s">
        <v>4963</v>
      </c>
    </row>
    <row r="2317" spans="1:3">
      <c r="A2317" s="668"/>
      <c r="B2317" s="644"/>
      <c r="C2317" s="669"/>
    </row>
    <row r="2318" spans="1:3" ht="27">
      <c r="A2318" s="668" t="s">
        <v>3883</v>
      </c>
      <c r="B2318" s="644" t="s">
        <v>3551</v>
      </c>
      <c r="C2318" s="669" t="s">
        <v>3190</v>
      </c>
    </row>
    <row r="2319" spans="1:3" ht="27">
      <c r="A2319" s="668"/>
      <c r="B2319" s="644"/>
      <c r="C2319" s="669" t="s">
        <v>4964</v>
      </c>
    </row>
    <row r="2320" spans="1:3">
      <c r="A2320" s="668"/>
      <c r="B2320" s="644"/>
      <c r="C2320" s="669"/>
    </row>
    <row r="2321" spans="1:3" ht="27">
      <c r="A2321" s="668" t="s">
        <v>3884</v>
      </c>
      <c r="B2321" s="644" t="s">
        <v>3192</v>
      </c>
      <c r="C2321" s="669" t="s">
        <v>3191</v>
      </c>
    </row>
    <row r="2322" spans="1:3" ht="27">
      <c r="A2322" s="668"/>
      <c r="B2322" s="644"/>
      <c r="C2322" s="669" t="s">
        <v>4965</v>
      </c>
    </row>
    <row r="2323" spans="1:3">
      <c r="A2323" s="668"/>
      <c r="B2323" s="644"/>
      <c r="C2323" s="669"/>
    </row>
    <row r="2324" spans="1:3" ht="27">
      <c r="A2324" s="668" t="s">
        <v>3885</v>
      </c>
      <c r="B2324" s="644" t="s">
        <v>3552</v>
      </c>
      <c r="C2324" s="669" t="s">
        <v>3194</v>
      </c>
    </row>
    <row r="2325" spans="1:3" ht="27">
      <c r="A2325" s="668"/>
      <c r="B2325" s="644"/>
      <c r="C2325" s="669" t="s">
        <v>4966</v>
      </c>
    </row>
    <row r="2326" spans="1:3">
      <c r="A2326" s="656"/>
      <c r="B2326" s="656"/>
      <c r="C2326" s="656"/>
    </row>
    <row r="2327" spans="1:3" ht="27">
      <c r="A2327" s="668" t="s">
        <v>3886</v>
      </c>
      <c r="B2327" s="644" t="s">
        <v>3765</v>
      </c>
      <c r="C2327" s="669" t="s">
        <v>3766</v>
      </c>
    </row>
    <row r="2328" spans="1:3" ht="53.4">
      <c r="A2328" s="670"/>
      <c r="B2328" s="671"/>
      <c r="C2328" s="672" t="s">
        <v>4086</v>
      </c>
    </row>
    <row r="2329" spans="1:3">
      <c r="A2329" s="656"/>
      <c r="B2329" s="656"/>
      <c r="C2329" s="656"/>
    </row>
    <row r="2330" spans="1:3">
      <c r="A2330" s="648" t="s">
        <v>3887</v>
      </c>
      <c r="B2330" s="644" t="s">
        <v>3488</v>
      </c>
      <c r="C2330" s="645" t="s">
        <v>3061</v>
      </c>
    </row>
    <row r="2331" spans="1:3">
      <c r="A2331" s="648" t="s">
        <v>3888</v>
      </c>
      <c r="B2331" s="644" t="s">
        <v>2780</v>
      </c>
      <c r="C2331" s="645" t="s">
        <v>2712</v>
      </c>
    </row>
    <row r="2332" spans="1:3" ht="40.200000000000003">
      <c r="A2332" s="670"/>
      <c r="B2332" s="671"/>
      <c r="C2332" s="672" t="s">
        <v>4087</v>
      </c>
    </row>
  </sheetData>
  <mergeCells count="92">
    <mergeCell ref="A1:C1"/>
    <mergeCell ref="B3:C3"/>
    <mergeCell ref="B4:C4"/>
    <mergeCell ref="B5:C5"/>
    <mergeCell ref="A6:C6"/>
    <mergeCell ref="A7:C7"/>
    <mergeCell ref="A8:C8"/>
    <mergeCell ref="A9:C9"/>
    <mergeCell ref="A10:C10"/>
    <mergeCell ref="A20:C20"/>
    <mergeCell ref="A32:C32"/>
    <mergeCell ref="A35:C35"/>
    <mergeCell ref="A38:C38"/>
    <mergeCell ref="A42:C42"/>
    <mergeCell ref="A45:C45"/>
    <mergeCell ref="A51:C51"/>
    <mergeCell ref="A63:C63"/>
    <mergeCell ref="A71:C71"/>
    <mergeCell ref="A78:C78"/>
    <mergeCell ref="A83:C83"/>
    <mergeCell ref="A87:C87"/>
    <mergeCell ref="A94:C94"/>
    <mergeCell ref="A98:C98"/>
    <mergeCell ref="A118:C118"/>
    <mergeCell ref="A125:C125"/>
    <mergeCell ref="A128:C128"/>
    <mergeCell ref="A133:C133"/>
    <mergeCell ref="A136:C136"/>
    <mergeCell ref="A140:C140"/>
    <mergeCell ref="A143:C143"/>
    <mergeCell ref="A146:C146"/>
    <mergeCell ref="A151:C151"/>
    <mergeCell ref="A154:C154"/>
    <mergeCell ref="A157:C157"/>
    <mergeCell ref="A167:C167"/>
    <mergeCell ref="A171:C171"/>
    <mergeCell ref="A174:C174"/>
    <mergeCell ref="A197:C197"/>
    <mergeCell ref="A251:C251"/>
    <mergeCell ref="A309:C309"/>
    <mergeCell ref="A1601:C1601"/>
    <mergeCell ref="A1630:C1630"/>
    <mergeCell ref="A1634:C1634"/>
    <mergeCell ref="A1662:C1662"/>
    <mergeCell ref="A1709:C1709"/>
    <mergeCell ref="A1712:C1712"/>
    <mergeCell ref="A1715:C1715"/>
    <mergeCell ref="A1719:C1719"/>
    <mergeCell ref="A1750:C1750"/>
    <mergeCell ref="A1755:C1755"/>
    <mergeCell ref="A1865:C1865"/>
    <mergeCell ref="A1870:C1870"/>
    <mergeCell ref="A1881:C1881"/>
    <mergeCell ref="A1884:C1884"/>
    <mergeCell ref="A1906:C1906"/>
    <mergeCell ref="A1923:C1923"/>
    <mergeCell ref="A1969:C1969"/>
    <mergeCell ref="A1975:C1975"/>
    <mergeCell ref="A1983:C1983"/>
    <mergeCell ref="A1986:C1986"/>
    <mergeCell ref="A1989:C1989"/>
    <mergeCell ref="A1993:C1993"/>
    <mergeCell ref="A2029:C2029"/>
    <mergeCell ref="A2055:C2055"/>
    <mergeCell ref="A2080:C2080"/>
    <mergeCell ref="A2094:C2094"/>
    <mergeCell ref="A2099:C2099"/>
    <mergeCell ref="A2108:C2108"/>
    <mergeCell ref="A2116:C2116"/>
    <mergeCell ref="A2119:C2119"/>
    <mergeCell ref="A2122:C2122"/>
    <mergeCell ref="A2158:C2158"/>
    <mergeCell ref="A2192:C2192"/>
    <mergeCell ref="A2195:C2195"/>
    <mergeCell ref="A2198:C2198"/>
    <mergeCell ref="A2201:C2201"/>
    <mergeCell ref="A2229:C2229"/>
    <mergeCell ref="A2232:C2232"/>
    <mergeCell ref="A2235:C2235"/>
    <mergeCell ref="A2240:C2240"/>
    <mergeCell ref="A2246:C2246"/>
    <mergeCell ref="A2249:C2249"/>
    <mergeCell ref="A2255:C2255"/>
    <mergeCell ref="A2286:C2286"/>
    <mergeCell ref="A2293:C2293"/>
    <mergeCell ref="A2326:C2326"/>
    <mergeCell ref="A2329:C2329"/>
    <mergeCell ref="A2258:C2258"/>
    <mergeCell ref="A2261:C2261"/>
    <mergeCell ref="A2267:C2267"/>
    <mergeCell ref="A2270:C2270"/>
    <mergeCell ref="A2276:C2276"/>
  </mergeCells>
  <printOptions horizontalCentered="1"/>
  <pageMargins left="0.59055118110236227" right="0.39370078740157483" top="1.1023622047244095" bottom="0.86614173228346458" header="0.31496062992125984" footer="0.27559055118110237"/>
  <pageSetup paperSize="9" scale="80" fitToHeight="0" orientation="portrait" r:id="rId1"/>
  <headerFooter alignWithMargins="0">
    <oddHeader>&amp;C&amp;G</oddHeader>
    <oddFooter>&amp;L&amp;G&amp;CPágina &amp;P de &amp;N&amp;R_______________________________________
Lorena Araújo Silva
Eng. Civil CREA 1015611540D -GO</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717D-762B-49D9-9D49-9B8371EE3DA3}">
  <sheetPr>
    <pageSetUpPr fitToPage="1"/>
  </sheetPr>
  <dimension ref="A1:H61"/>
  <sheetViews>
    <sheetView workbookViewId="0">
      <selection activeCell="K28" sqref="K28"/>
    </sheetView>
  </sheetViews>
  <sheetFormatPr defaultColWidth="9.109375" defaultRowHeight="14.4"/>
  <cols>
    <col min="1" max="1" width="13" style="361" customWidth="1"/>
    <col min="2" max="2" width="54" style="361" customWidth="1"/>
    <col min="3" max="3" width="18.6640625" style="361" bestFit="1" customWidth="1"/>
    <col min="4" max="4" width="11.33203125" style="357" bestFit="1" customWidth="1"/>
    <col min="5" max="5" width="11.33203125" style="361" bestFit="1" customWidth="1"/>
    <col min="6" max="6" width="14.109375" style="360" bestFit="1" customWidth="1"/>
    <col min="7" max="7" width="12.88671875" style="361" bestFit="1" customWidth="1"/>
    <col min="8" max="8" width="13.44140625" style="357" hidden="1" customWidth="1"/>
    <col min="9" max="16384" width="9.109375" style="357"/>
  </cols>
  <sheetData>
    <row r="1" spans="1:7" ht="16.2" thickBot="1">
      <c r="A1" s="622" t="s">
        <v>4089</v>
      </c>
      <c r="B1" s="623"/>
      <c r="C1" s="623"/>
      <c r="D1" s="623"/>
      <c r="E1" s="623"/>
      <c r="F1" s="623"/>
      <c r="G1" s="623"/>
    </row>
    <row r="2" spans="1:7" ht="16.2" thickBot="1">
      <c r="A2" s="358"/>
      <c r="B2" s="358"/>
      <c r="C2" s="358"/>
      <c r="D2" s="359"/>
      <c r="E2" s="358"/>
    </row>
    <row r="3" spans="1:7" ht="26.4" customHeight="1">
      <c r="A3" s="362" t="s">
        <v>1</v>
      </c>
      <c r="B3" s="624" t="s">
        <v>3976</v>
      </c>
      <c r="C3" s="624"/>
      <c r="D3" s="624"/>
      <c r="E3" s="624"/>
      <c r="F3" s="624"/>
      <c r="G3" s="625"/>
    </row>
    <row r="4" spans="1:7">
      <c r="A4" s="363" t="s">
        <v>2</v>
      </c>
      <c r="B4" s="626" t="s">
        <v>4378</v>
      </c>
      <c r="C4" s="626"/>
      <c r="D4" s="626"/>
      <c r="E4" s="626"/>
      <c r="F4" s="626"/>
      <c r="G4" s="627"/>
    </row>
    <row r="5" spans="1:7" ht="15" thickBot="1">
      <c r="A5" s="364" t="s">
        <v>3</v>
      </c>
      <c r="B5" s="628">
        <v>45119</v>
      </c>
      <c r="C5" s="628"/>
      <c r="D5" s="628"/>
      <c r="E5" s="628"/>
      <c r="F5" s="628"/>
      <c r="G5" s="629"/>
    </row>
    <row r="6" spans="1:7">
      <c r="A6" s="365"/>
      <c r="B6" s="366"/>
      <c r="C6" s="366"/>
      <c r="D6" s="367"/>
      <c r="E6" s="366"/>
    </row>
    <row r="7" spans="1:7">
      <c r="A7" s="368" t="s">
        <v>4090</v>
      </c>
      <c r="B7" s="369"/>
      <c r="C7" s="369"/>
      <c r="D7" s="367"/>
      <c r="E7" s="366"/>
    </row>
    <row r="8" spans="1:7" ht="15.6">
      <c r="A8" s="419" t="s">
        <v>4379</v>
      </c>
      <c r="B8" s="371"/>
      <c r="C8" s="372"/>
      <c r="D8" s="367"/>
      <c r="E8" s="366"/>
    </row>
    <row r="9" spans="1:7" ht="15">
      <c r="A9" s="419" t="s">
        <v>4380</v>
      </c>
      <c r="B9" s="373"/>
      <c r="C9" s="372"/>
      <c r="D9" s="367"/>
      <c r="E9" s="366"/>
      <c r="G9" s="357"/>
    </row>
    <row r="10" spans="1:7" ht="15">
      <c r="A10" s="370"/>
      <c r="B10" s="373"/>
      <c r="C10" s="372"/>
      <c r="D10" s="630" t="s">
        <v>4091</v>
      </c>
      <c r="E10" s="630"/>
      <c r="F10" s="374">
        <f>'Planilha Orçamentária'!N11</f>
        <v>1707910.44</v>
      </c>
      <c r="G10" s="357"/>
    </row>
    <row r="11" spans="1:7" ht="15">
      <c r="A11" s="419" t="s">
        <v>4494</v>
      </c>
      <c r="B11" s="373"/>
      <c r="C11" s="375"/>
      <c r="D11" s="630" t="s">
        <v>4092</v>
      </c>
      <c r="E11" s="630"/>
      <c r="F11" s="376">
        <v>0.25919999999999999</v>
      </c>
      <c r="G11" s="357"/>
    </row>
    <row r="12" spans="1:7" ht="15">
      <c r="A12" s="419" t="s">
        <v>4380</v>
      </c>
      <c r="B12" s="373"/>
      <c r="C12" s="375"/>
      <c r="D12" s="630" t="s">
        <v>4093</v>
      </c>
      <c r="E12" s="630"/>
      <c r="F12" s="376">
        <v>0.14899999999999999</v>
      </c>
      <c r="G12" s="357"/>
    </row>
    <row r="13" spans="1:7" ht="15.6">
      <c r="A13" s="377"/>
      <c r="B13" s="378"/>
      <c r="C13" s="375"/>
      <c r="D13" s="375"/>
      <c r="E13" s="379"/>
      <c r="G13" s="357"/>
    </row>
    <row r="14" spans="1:7">
      <c r="A14" s="368" t="s">
        <v>4094</v>
      </c>
      <c r="B14" s="369"/>
      <c r="C14" s="380"/>
      <c r="D14" s="380"/>
      <c r="E14" s="379"/>
    </row>
    <row r="15" spans="1:7" ht="15">
      <c r="A15" s="419" t="s">
        <v>4381</v>
      </c>
      <c r="B15" s="378"/>
      <c r="C15" s="380"/>
      <c r="D15" s="380"/>
      <c r="E15" s="379"/>
    </row>
    <row r="16" spans="1:7" ht="15">
      <c r="A16" s="419" t="s">
        <v>4382</v>
      </c>
      <c r="B16" s="378"/>
      <c r="C16" s="381"/>
      <c r="D16" s="381"/>
      <c r="E16" s="382"/>
    </row>
    <row r="17" spans="1:8" ht="15" thickBot="1">
      <c r="A17" s="383"/>
      <c r="B17" s="381"/>
      <c r="C17" s="381"/>
      <c r="D17" s="381"/>
      <c r="E17" s="382"/>
    </row>
    <row r="18" spans="1:8" ht="15" thickBot="1">
      <c r="A18" s="384" t="s">
        <v>4</v>
      </c>
      <c r="B18" s="385" t="s">
        <v>2474</v>
      </c>
      <c r="C18" s="385" t="s">
        <v>4095</v>
      </c>
      <c r="D18" s="385" t="s">
        <v>4096</v>
      </c>
      <c r="E18" s="386" t="s">
        <v>4097</v>
      </c>
      <c r="F18" s="386" t="s">
        <v>4098</v>
      </c>
      <c r="G18" s="386" t="s">
        <v>4099</v>
      </c>
    </row>
    <row r="19" spans="1:8">
      <c r="A19" s="631" t="s">
        <v>4100</v>
      </c>
      <c r="B19" s="632" t="s">
        <v>9</v>
      </c>
      <c r="C19" s="387">
        <v>1</v>
      </c>
      <c r="D19" s="388">
        <v>0.76419990000000004</v>
      </c>
      <c r="E19" s="388">
        <v>0.10440000000000001</v>
      </c>
      <c r="F19" s="388">
        <v>4.2000000000000003E-2</v>
      </c>
      <c r="G19" s="388">
        <v>8.9399999999999993E-2</v>
      </c>
    </row>
    <row r="20" spans="1:8">
      <c r="A20" s="620"/>
      <c r="B20" s="621"/>
      <c r="C20" s="389">
        <f>'Planilha Orçamentária'!M21</f>
        <v>35097.56</v>
      </c>
      <c r="D20" s="390">
        <f>ROUND((D19*$C$20),2)</f>
        <v>26821.55</v>
      </c>
      <c r="E20" s="390">
        <f t="shared" ref="E20:G20" si="0">ROUND((E19*$C$20),2)</f>
        <v>3664.19</v>
      </c>
      <c r="F20" s="390">
        <f t="shared" si="0"/>
        <v>1474.1</v>
      </c>
      <c r="G20" s="390">
        <f t="shared" si="0"/>
        <v>3137.72</v>
      </c>
      <c r="H20" s="530">
        <f>D20+E20+F20+G20</f>
        <v>35097.56</v>
      </c>
    </row>
    <row r="21" spans="1:8">
      <c r="A21" s="620" t="s">
        <v>4101</v>
      </c>
      <c r="B21" s="621" t="s">
        <v>94</v>
      </c>
      <c r="C21" s="391">
        <v>1</v>
      </c>
      <c r="D21" s="392">
        <v>0.45569999999999999</v>
      </c>
      <c r="E21" s="392">
        <v>0.20100000000000001</v>
      </c>
      <c r="F21" s="392">
        <v>0.1487</v>
      </c>
      <c r="G21" s="392">
        <v>0.1946</v>
      </c>
    </row>
    <row r="22" spans="1:8">
      <c r="A22" s="620"/>
      <c r="B22" s="621"/>
      <c r="C22" s="389">
        <f>'Planilha Orçamentária'!M56</f>
        <v>25161.23</v>
      </c>
      <c r="D22" s="390">
        <f t="shared" ref="D22:G22" si="1">ROUND((D21*$C$22),2)</f>
        <v>11465.97</v>
      </c>
      <c r="E22" s="390">
        <f t="shared" si="1"/>
        <v>5057.41</v>
      </c>
      <c r="F22" s="390">
        <f t="shared" si="1"/>
        <v>3741.47</v>
      </c>
      <c r="G22" s="390">
        <f t="shared" si="1"/>
        <v>4896.38</v>
      </c>
      <c r="H22" s="530">
        <f>D22+E22+F22+G22</f>
        <v>25161.23</v>
      </c>
    </row>
    <row r="23" spans="1:8">
      <c r="A23" s="620" t="s">
        <v>4102</v>
      </c>
      <c r="B23" s="621" t="s">
        <v>4103</v>
      </c>
      <c r="C23" s="391">
        <v>1</v>
      </c>
      <c r="D23" s="392" t="s">
        <v>4104</v>
      </c>
      <c r="E23" s="392">
        <v>1</v>
      </c>
      <c r="F23" s="392" t="s">
        <v>4104</v>
      </c>
      <c r="G23" s="392" t="s">
        <v>4104</v>
      </c>
    </row>
    <row r="24" spans="1:8">
      <c r="A24" s="620"/>
      <c r="B24" s="621"/>
      <c r="C24" s="389">
        <f>'Planilha Orçamentária'!M62</f>
        <v>60.7</v>
      </c>
      <c r="D24" s="393"/>
      <c r="E24" s="390">
        <f>ROUND((E23*$C$24),2)</f>
        <v>60.7</v>
      </c>
      <c r="F24" s="393"/>
      <c r="G24" s="393"/>
      <c r="H24" s="530">
        <f>D24+E24+F24+G24</f>
        <v>60.7</v>
      </c>
    </row>
    <row r="25" spans="1:8">
      <c r="A25" s="620" t="s">
        <v>4105</v>
      </c>
      <c r="B25" s="621" t="s">
        <v>177</v>
      </c>
      <c r="C25" s="391">
        <v>1</v>
      </c>
      <c r="D25" s="392">
        <v>0.5282</v>
      </c>
      <c r="E25" s="392">
        <v>0.4718</v>
      </c>
      <c r="F25" s="392" t="s">
        <v>4104</v>
      </c>
      <c r="G25" s="392" t="s">
        <v>4104</v>
      </c>
    </row>
    <row r="26" spans="1:8">
      <c r="A26" s="620"/>
      <c r="B26" s="621"/>
      <c r="C26" s="389">
        <f>'Planilha Orçamentária'!M65</f>
        <v>229.46</v>
      </c>
      <c r="D26" s="390">
        <f>ROUND((D25*$C$26),2)</f>
        <v>121.2</v>
      </c>
      <c r="E26" s="390">
        <f>ROUND((E25*$C$26),2)</f>
        <v>108.26</v>
      </c>
      <c r="F26" s="393"/>
      <c r="G26" s="393"/>
      <c r="H26" s="530">
        <f>D26+E26+F26+G26</f>
        <v>229.46</v>
      </c>
    </row>
    <row r="27" spans="1:8">
      <c r="A27" s="620" t="s">
        <v>4106</v>
      </c>
      <c r="B27" s="621" t="s">
        <v>240</v>
      </c>
      <c r="C27" s="391">
        <v>1</v>
      </c>
      <c r="D27" s="392" t="s">
        <v>4104</v>
      </c>
      <c r="E27" s="392">
        <v>0.5</v>
      </c>
      <c r="F27" s="392">
        <v>0.5</v>
      </c>
      <c r="G27" s="392"/>
    </row>
    <row r="28" spans="1:8">
      <c r="A28" s="620"/>
      <c r="B28" s="621"/>
      <c r="C28" s="389">
        <f>'Planilha Orçamentária'!M68</f>
        <v>142775.9</v>
      </c>
      <c r="D28" s="393"/>
      <c r="E28" s="390">
        <f>ROUND((E27*$C$28),2)</f>
        <v>71387.95</v>
      </c>
      <c r="F28" s="390">
        <f>ROUND((F27*$C$28),2)</f>
        <v>71387.95</v>
      </c>
      <c r="G28" s="393"/>
      <c r="H28" s="530">
        <f>D28+E28+F28+G28</f>
        <v>142775.9</v>
      </c>
    </row>
    <row r="29" spans="1:8">
      <c r="A29" s="620" t="s">
        <v>4107</v>
      </c>
      <c r="B29" s="621" t="s">
        <v>970</v>
      </c>
      <c r="C29" s="391">
        <v>1</v>
      </c>
      <c r="D29" s="392" t="s">
        <v>4104</v>
      </c>
      <c r="E29" s="392" t="s">
        <v>4104</v>
      </c>
      <c r="F29" s="392">
        <v>0.24</v>
      </c>
      <c r="G29" s="392">
        <v>0.76</v>
      </c>
    </row>
    <row r="30" spans="1:8">
      <c r="A30" s="620"/>
      <c r="B30" s="621"/>
      <c r="C30" s="389">
        <f>'Planilha Orçamentária'!M131</f>
        <v>19155.62</v>
      </c>
      <c r="D30" s="393"/>
      <c r="E30" s="393"/>
      <c r="F30" s="390">
        <f>ROUND((F29*$C$30),2)</f>
        <v>4597.3500000000004</v>
      </c>
      <c r="G30" s="390">
        <f>ROUND((G29*$C$30),2)</f>
        <v>14558.27</v>
      </c>
      <c r="H30" s="530">
        <f>D30+E30+F30+G30</f>
        <v>19155.620000000003</v>
      </c>
    </row>
    <row r="31" spans="1:8">
      <c r="A31" s="620" t="s">
        <v>4108</v>
      </c>
      <c r="B31" s="621" t="s">
        <v>1503</v>
      </c>
      <c r="C31" s="391">
        <v>1</v>
      </c>
      <c r="D31" s="392" t="s">
        <v>4104</v>
      </c>
      <c r="E31" s="392">
        <v>1</v>
      </c>
      <c r="F31" s="392"/>
      <c r="G31" s="392"/>
    </row>
    <row r="32" spans="1:8">
      <c r="A32" s="620"/>
      <c r="B32" s="621"/>
      <c r="C32" s="389">
        <f>'Planilha Orçamentária'!M157</f>
        <v>10795.77</v>
      </c>
      <c r="D32" s="393"/>
      <c r="E32" s="390">
        <f>ROUND((E31*$C$32),2)</f>
        <v>10795.77</v>
      </c>
      <c r="F32" s="393"/>
      <c r="G32" s="393"/>
      <c r="H32" s="530">
        <f>D32+E32+F32+G32</f>
        <v>10795.77</v>
      </c>
    </row>
    <row r="33" spans="1:8">
      <c r="A33" s="620" t="s">
        <v>4109</v>
      </c>
      <c r="B33" s="621" t="s">
        <v>1577</v>
      </c>
      <c r="C33" s="391">
        <v>1</v>
      </c>
      <c r="D33" s="392">
        <v>0.995</v>
      </c>
      <c r="E33" s="392">
        <v>5.0000000000000001E-3</v>
      </c>
      <c r="F33" s="392"/>
      <c r="G33" s="392"/>
    </row>
    <row r="34" spans="1:8">
      <c r="A34" s="620"/>
      <c r="B34" s="621"/>
      <c r="C34" s="389">
        <f>'Planilha Orçamentária'!M162</f>
        <v>233599.23</v>
      </c>
      <c r="D34" s="390">
        <f>ROUND((D33*$C$34),2)</f>
        <v>232431.23</v>
      </c>
      <c r="E34" s="390">
        <f>ROUND((E33*$C$34),2)</f>
        <v>1168</v>
      </c>
      <c r="F34" s="393"/>
      <c r="G34" s="393"/>
      <c r="H34" s="530">
        <f>D34+E34+F34+G34</f>
        <v>233599.23</v>
      </c>
    </row>
    <row r="35" spans="1:8">
      <c r="A35" s="620" t="s">
        <v>4110</v>
      </c>
      <c r="B35" s="621" t="s">
        <v>1580</v>
      </c>
      <c r="C35" s="391">
        <v>1</v>
      </c>
      <c r="D35" s="392">
        <v>8.3199990000000001E-2</v>
      </c>
      <c r="E35" s="392">
        <v>0.91439999999999999</v>
      </c>
      <c r="F35" s="392" t="s">
        <v>4104</v>
      </c>
      <c r="G35" s="392">
        <v>2.3999999999999998E-3</v>
      </c>
      <c r="H35" s="531"/>
    </row>
    <row r="36" spans="1:8">
      <c r="A36" s="620"/>
      <c r="B36" s="621"/>
      <c r="C36" s="389">
        <f>'Planilha Orçamentária'!M168</f>
        <v>301998.40999999997</v>
      </c>
      <c r="D36" s="390">
        <f>ROUND((D35*$C$36),2)</f>
        <v>25126.26</v>
      </c>
      <c r="E36" s="390">
        <f>ROUND((E35*$C$36),2)</f>
        <v>276147.34999999998</v>
      </c>
      <c r="F36" s="393"/>
      <c r="G36" s="393">
        <f>ROUND((G35*$C$36),2)</f>
        <v>724.8</v>
      </c>
      <c r="H36" s="530">
        <f>D36+E36+F36+G36</f>
        <v>301998.40999999997</v>
      </c>
    </row>
    <row r="37" spans="1:8">
      <c r="A37" s="620" t="s">
        <v>4111</v>
      </c>
      <c r="B37" s="621" t="s">
        <v>3977</v>
      </c>
      <c r="C37" s="391">
        <v>1</v>
      </c>
      <c r="D37" s="392" t="s">
        <v>4104</v>
      </c>
      <c r="E37" s="392" t="s">
        <v>4104</v>
      </c>
      <c r="F37" s="392" t="s">
        <v>4104</v>
      </c>
      <c r="G37" s="392">
        <v>1</v>
      </c>
    </row>
    <row r="38" spans="1:8">
      <c r="A38" s="620"/>
      <c r="B38" s="621"/>
      <c r="C38" s="389">
        <f>'Planilha Orçamentária'!M174</f>
        <v>69920.95</v>
      </c>
      <c r="D38" s="393"/>
      <c r="E38" s="393"/>
      <c r="F38" s="393"/>
      <c r="G38" s="390">
        <f>ROUND((G37*$C$38),2)</f>
        <v>69920.95</v>
      </c>
      <c r="H38" s="530">
        <f>D38+E38+F38+G38</f>
        <v>69920.95</v>
      </c>
    </row>
    <row r="39" spans="1:8">
      <c r="A39" s="620" t="s">
        <v>4112</v>
      </c>
      <c r="B39" s="621" t="s">
        <v>4113</v>
      </c>
      <c r="C39" s="391">
        <v>1</v>
      </c>
      <c r="D39" s="392" t="s">
        <v>4104</v>
      </c>
      <c r="E39" s="392">
        <v>0.94159999999999999</v>
      </c>
      <c r="F39" s="392">
        <v>5.8400000000000001E-2</v>
      </c>
      <c r="G39" s="392"/>
    </row>
    <row r="40" spans="1:8">
      <c r="A40" s="620"/>
      <c r="B40" s="621"/>
      <c r="C40" s="389">
        <f>'Planilha Orçamentária'!M182</f>
        <v>2540.56</v>
      </c>
      <c r="D40" s="393"/>
      <c r="E40" s="390">
        <f>ROUND((E39*$C$40),2)</f>
        <v>2392.19</v>
      </c>
      <c r="F40" s="390">
        <f>ROUND((F39*$C$40),2)</f>
        <v>148.37</v>
      </c>
      <c r="G40" s="393"/>
      <c r="H40" s="530">
        <f>D40+E40+F40+G40</f>
        <v>2540.56</v>
      </c>
    </row>
    <row r="41" spans="1:8">
      <c r="A41" s="620" t="s">
        <v>4114</v>
      </c>
      <c r="B41" s="621" t="s">
        <v>1740</v>
      </c>
      <c r="C41" s="391">
        <v>1</v>
      </c>
      <c r="D41" s="392" t="s">
        <v>4104</v>
      </c>
      <c r="E41" s="392" t="s">
        <v>4104</v>
      </c>
      <c r="F41" s="392">
        <v>1</v>
      </c>
      <c r="G41" s="392" t="s">
        <v>4104</v>
      </c>
    </row>
    <row r="42" spans="1:8">
      <c r="A42" s="620"/>
      <c r="B42" s="621"/>
      <c r="C42" s="389">
        <f>'Planilha Orçamentária'!M187</f>
        <v>148838.43</v>
      </c>
      <c r="D42" s="393"/>
      <c r="E42" s="393"/>
      <c r="F42" s="390">
        <f>ROUND((F41*$C$42),2)</f>
        <v>148838.43</v>
      </c>
      <c r="G42" s="393"/>
      <c r="H42" s="530">
        <f>D42+E42+F42+G42</f>
        <v>148838.43</v>
      </c>
    </row>
    <row r="43" spans="1:8">
      <c r="A43" s="620" t="s">
        <v>4115</v>
      </c>
      <c r="B43" s="621" t="s">
        <v>4116</v>
      </c>
      <c r="C43" s="391">
        <v>1</v>
      </c>
      <c r="D43" s="392">
        <v>0.2737</v>
      </c>
      <c r="E43" s="392" t="s">
        <v>4104</v>
      </c>
      <c r="F43" s="392">
        <v>0.72629999999999995</v>
      </c>
      <c r="G43" s="392"/>
    </row>
    <row r="44" spans="1:8">
      <c r="A44" s="620"/>
      <c r="B44" s="621"/>
      <c r="C44" s="389">
        <f>'Planilha Orçamentária'!M191</f>
        <v>202798.26</v>
      </c>
      <c r="D44" s="390">
        <f>ROUND((D43*$C$44),2)</f>
        <v>55505.88</v>
      </c>
      <c r="E44" s="390"/>
      <c r="F44" s="390">
        <f>ROUND((F43*$C$44),2)</f>
        <v>147292.38</v>
      </c>
      <c r="G44" s="393"/>
      <c r="H44" s="530">
        <f>D44+E44+F44+G44</f>
        <v>202798.26</v>
      </c>
    </row>
    <row r="45" spans="1:8">
      <c r="A45" s="620" t="s">
        <v>4117</v>
      </c>
      <c r="B45" s="621" t="s">
        <v>1816</v>
      </c>
      <c r="C45" s="391">
        <v>1</v>
      </c>
      <c r="D45" s="392" t="s">
        <v>4104</v>
      </c>
      <c r="E45" s="392" t="s">
        <v>4104</v>
      </c>
      <c r="F45" s="392" t="s">
        <v>4104</v>
      </c>
      <c r="G45" s="392">
        <v>1</v>
      </c>
    </row>
    <row r="46" spans="1:8">
      <c r="A46" s="620"/>
      <c r="B46" s="621"/>
      <c r="C46" s="389">
        <f>'Planilha Orçamentária'!M203</f>
        <v>2125.65</v>
      </c>
      <c r="D46" s="393"/>
      <c r="E46" s="393"/>
      <c r="F46" s="393"/>
      <c r="G46" s="390">
        <f>ROUND((G45*$C$46),2)</f>
        <v>2125.65</v>
      </c>
      <c r="H46" s="530">
        <f>D46+E46+F46+G46</f>
        <v>2125.65</v>
      </c>
    </row>
    <row r="47" spans="1:8">
      <c r="A47" s="620" t="s">
        <v>4118</v>
      </c>
      <c r="B47" s="621" t="s">
        <v>1854</v>
      </c>
      <c r="C47" s="391">
        <v>1</v>
      </c>
      <c r="D47" s="392">
        <v>0.25</v>
      </c>
      <c r="E47" s="392">
        <v>0.25</v>
      </c>
      <c r="F47" s="392">
        <v>0.25</v>
      </c>
      <c r="G47" s="392">
        <v>0.25</v>
      </c>
    </row>
    <row r="48" spans="1:8">
      <c r="A48" s="620"/>
      <c r="B48" s="621"/>
      <c r="C48" s="389">
        <f>'Planilha Orçamentária'!M205</f>
        <v>51654.239999999998</v>
      </c>
      <c r="D48" s="390">
        <f t="shared" ref="D48:G48" si="2">ROUND((D47*$C$48),2)</f>
        <v>12913.56</v>
      </c>
      <c r="E48" s="390">
        <f t="shared" si="2"/>
        <v>12913.56</v>
      </c>
      <c r="F48" s="390">
        <f t="shared" si="2"/>
        <v>12913.56</v>
      </c>
      <c r="G48" s="390">
        <f t="shared" si="2"/>
        <v>12913.56</v>
      </c>
      <c r="H48" s="530">
        <f>D48+E48+F48+G48</f>
        <v>51654.239999999998</v>
      </c>
    </row>
    <row r="49" spans="1:8">
      <c r="A49" s="620" t="s">
        <v>4119</v>
      </c>
      <c r="B49" s="621" t="s">
        <v>1866</v>
      </c>
      <c r="C49" s="391">
        <v>1</v>
      </c>
      <c r="D49" s="392">
        <v>3.8300000000000001E-2</v>
      </c>
      <c r="E49" s="392">
        <v>6.9800000000000001E-2</v>
      </c>
      <c r="F49" s="392">
        <v>0.61350000000000005</v>
      </c>
      <c r="G49" s="392">
        <v>0.27839999999999998</v>
      </c>
    </row>
    <row r="50" spans="1:8">
      <c r="A50" s="620"/>
      <c r="B50" s="621"/>
      <c r="C50" s="389">
        <f>'Planilha Orçamentária'!M208</f>
        <v>124143.92</v>
      </c>
      <c r="D50" s="390">
        <f>ROUND((D49*$C$50),2)</f>
        <v>4754.71</v>
      </c>
      <c r="E50" s="390">
        <f>ROUND((E49*$C$50),2)</f>
        <v>8665.25</v>
      </c>
      <c r="F50" s="390">
        <f>ROUND((F49*$C$50),2)</f>
        <v>76162.289999999994</v>
      </c>
      <c r="G50" s="390">
        <f>ROUND((G49*$C$50),2)</f>
        <v>34561.67</v>
      </c>
      <c r="H50" s="530">
        <f>D50+E50+F50+G50</f>
        <v>124143.92</v>
      </c>
    </row>
    <row r="51" spans="1:8">
      <c r="A51" s="620" t="s">
        <v>4120</v>
      </c>
      <c r="B51" s="621" t="s">
        <v>1918</v>
      </c>
      <c r="C51" s="391">
        <v>0.98770000000000002</v>
      </c>
      <c r="D51" s="392">
        <v>5.50999E-2</v>
      </c>
      <c r="E51" s="392">
        <v>4.0099999999999997E-2</v>
      </c>
      <c r="F51" s="392">
        <v>7.51E-2</v>
      </c>
      <c r="G51" s="392">
        <v>0.82969999999999999</v>
      </c>
    </row>
    <row r="52" spans="1:8">
      <c r="A52" s="620"/>
      <c r="B52" s="621"/>
      <c r="C52" s="389">
        <f>'Planilha Orçamentária'!M216</f>
        <v>81213.53</v>
      </c>
      <c r="D52" s="390">
        <f t="shared" ref="D52:G52" si="3">ROUND((D51*$C$52),2)</f>
        <v>4474.8599999999997</v>
      </c>
      <c r="E52" s="390">
        <f t="shared" si="3"/>
        <v>3256.66</v>
      </c>
      <c r="F52" s="390">
        <f t="shared" si="3"/>
        <v>6099.14</v>
      </c>
      <c r="G52" s="390">
        <f t="shared" si="3"/>
        <v>67382.87</v>
      </c>
      <c r="H52" s="530">
        <f>D52+E52+F52+G52</f>
        <v>81213.53</v>
      </c>
    </row>
    <row r="53" spans="1:8">
      <c r="A53" s="620" t="s">
        <v>4121</v>
      </c>
      <c r="B53" s="621" t="s">
        <v>4122</v>
      </c>
      <c r="C53" s="391">
        <v>1</v>
      </c>
      <c r="D53" s="392" t="s">
        <v>4104</v>
      </c>
      <c r="E53" s="392" t="s">
        <v>4104</v>
      </c>
      <c r="F53" s="392">
        <v>0.2964</v>
      </c>
      <c r="G53" s="392">
        <v>0.7036</v>
      </c>
    </row>
    <row r="54" spans="1:8">
      <c r="A54" s="620"/>
      <c r="B54" s="621"/>
      <c r="C54" s="389">
        <f>'Planilha Orçamentária'!M241</f>
        <v>255801.02</v>
      </c>
      <c r="D54" s="393"/>
      <c r="E54" s="393"/>
      <c r="F54" s="390">
        <f>ROUND((F53*$C$54),2)</f>
        <v>75819.42</v>
      </c>
      <c r="G54" s="390">
        <f>ROUND((G53*$C$54),2)</f>
        <v>179981.6</v>
      </c>
      <c r="H54" s="530">
        <f>D54+E54+F54+G54</f>
        <v>255801.02000000002</v>
      </c>
    </row>
    <row r="55" spans="1:8">
      <c r="A55" s="633" t="s">
        <v>4123</v>
      </c>
      <c r="B55" s="633"/>
      <c r="C55" s="395"/>
      <c r="D55" s="396">
        <f>D56/$F$10</f>
        <v>0.21875574459279026</v>
      </c>
      <c r="E55" s="396">
        <f t="shared" ref="E55:G55" si="4">E56/$F$10</f>
        <v>0.23163819409640707</v>
      </c>
      <c r="F55" s="396">
        <f t="shared" si="4"/>
        <v>0.32113771726812557</v>
      </c>
      <c r="G55" s="396">
        <f t="shared" si="4"/>
        <v>0.22846834404267707</v>
      </c>
    </row>
    <row r="56" spans="1:8">
      <c r="A56" s="633" t="s">
        <v>4124</v>
      </c>
      <c r="B56" s="633"/>
      <c r="C56" s="397"/>
      <c r="D56" s="398">
        <f>D20+D22+D24+D26+D28+D30+D32+D34+D36+D38+D40+D42+D44+D46+D48+D50+D52+D54</f>
        <v>373615.22000000003</v>
      </c>
      <c r="E56" s="398">
        <f t="shared" ref="E56:G56" si="5">E20+E22+E24+E26+E28+E30+E32+E34+E36+E38+E40+E42+E44+E46+E48+E50+E52+E54</f>
        <v>395617.29</v>
      </c>
      <c r="F56" s="398">
        <f>F20+F22+F24+F26+F28+F30+F32+F34+F36+F38+F40+F42+F44+F46+F48+F50+F52+F54</f>
        <v>548474.46</v>
      </c>
      <c r="G56" s="398">
        <f t="shared" si="5"/>
        <v>390203.47</v>
      </c>
      <c r="H56" s="532"/>
    </row>
    <row r="57" spans="1:8">
      <c r="A57" s="394"/>
      <c r="B57" s="394"/>
      <c r="C57" s="397"/>
      <c r="D57" s="397"/>
      <c r="E57" s="397"/>
      <c r="F57" s="397"/>
      <c r="G57" s="397"/>
    </row>
    <row r="58" spans="1:8">
      <c r="A58" s="633" t="s">
        <v>4125</v>
      </c>
      <c r="B58" s="633"/>
      <c r="C58" s="397"/>
      <c r="D58" s="396">
        <f>D59/$F$10</f>
        <v>0.21875574459279026</v>
      </c>
      <c r="E58" s="396">
        <f t="shared" ref="E58:G58" si="6">E59/$F$10</f>
        <v>0.4503939386891973</v>
      </c>
      <c r="F58" s="396">
        <f t="shared" si="6"/>
        <v>0.77153165595732287</v>
      </c>
      <c r="G58" s="396">
        <f t="shared" si="6"/>
        <v>1</v>
      </c>
    </row>
    <row r="59" spans="1:8">
      <c r="A59" s="633" t="s">
        <v>4126</v>
      </c>
      <c r="B59" s="633"/>
      <c r="C59" s="397"/>
      <c r="D59" s="398">
        <f>D56</f>
        <v>373615.22000000003</v>
      </c>
      <c r="E59" s="398">
        <f>D59+E56</f>
        <v>769232.51</v>
      </c>
      <c r="F59" s="398">
        <f>E59+F56</f>
        <v>1317706.97</v>
      </c>
      <c r="G59" s="398">
        <f>F59+G56</f>
        <v>1707910.44</v>
      </c>
    </row>
    <row r="61" spans="1:8">
      <c r="C61" s="399"/>
    </row>
  </sheetData>
  <mergeCells count="47">
    <mergeCell ref="A55:B55"/>
    <mergeCell ref="A56:B56"/>
    <mergeCell ref="A58:B58"/>
    <mergeCell ref="A59:B59"/>
    <mergeCell ref="A49:A50"/>
    <mergeCell ref="B49:B50"/>
    <mergeCell ref="A51:A52"/>
    <mergeCell ref="B51:B52"/>
    <mergeCell ref="A53:A54"/>
    <mergeCell ref="B53:B54"/>
    <mergeCell ref="A43:A44"/>
    <mergeCell ref="B43:B44"/>
    <mergeCell ref="A45:A46"/>
    <mergeCell ref="B45:B46"/>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A27:A28"/>
    <mergeCell ref="B27:B28"/>
    <mergeCell ref="A29:A30"/>
    <mergeCell ref="B29:B30"/>
    <mergeCell ref="A23:A24"/>
    <mergeCell ref="B23:B24"/>
    <mergeCell ref="A1:G1"/>
    <mergeCell ref="B3:G3"/>
    <mergeCell ref="B4:G4"/>
    <mergeCell ref="B5:G5"/>
    <mergeCell ref="D10:E10"/>
    <mergeCell ref="D11:E11"/>
    <mergeCell ref="D12:E12"/>
    <mergeCell ref="A19:A20"/>
    <mergeCell ref="B19:B20"/>
    <mergeCell ref="A21:A22"/>
    <mergeCell ref="B21:B22"/>
  </mergeCells>
  <pageMargins left="0.51181102362204722" right="0.51181102362204722" top="0.98425196850393704" bottom="0.78740157480314965" header="0.31496062992125984" footer="0.31496062992125984"/>
  <pageSetup paperSize="9" scale="68" fitToHeight="0" orientation="portrait" r:id="rId1"/>
  <headerFooter>
    <oddHeader>&amp;C&amp;G</oddHeader>
    <oddFooter>&amp;L&amp;G&amp;CPágina &amp;P de &amp;N&amp;R
Lorena Araújo Silva
Eng. Civil CREA 1015611540D -GO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Memória de Cálculo</vt:lpstr>
      <vt:lpstr>Cotações</vt:lpstr>
      <vt:lpstr>Composições Custo Unitário</vt:lpstr>
      <vt:lpstr>Planilha Orçamentária</vt:lpstr>
      <vt:lpstr>Demonstrativo BDI</vt:lpstr>
      <vt:lpstr>Memorial Descritivo</vt:lpstr>
      <vt:lpstr>Cronograma</vt:lpstr>
      <vt:lpstr>Cotações!Area_de_impressao</vt:lpstr>
      <vt:lpstr>'Memória de Cálculo'!Area_de_impressao</vt:lpstr>
      <vt:lpstr>'Memorial Descritivo'!Area_de_impressao</vt:lpstr>
      <vt:lpstr>Cotações!Titulos_de_impressao</vt:lpstr>
      <vt:lpstr>'Memória de Cálculo'!Titulos_de_impressao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UniRV</cp:lastModifiedBy>
  <cp:lastPrinted>2023-07-13T10:40:34Z</cp:lastPrinted>
  <dcterms:created xsi:type="dcterms:W3CDTF">2014-01-21T11:08:00Z</dcterms:created>
  <dcterms:modified xsi:type="dcterms:W3CDTF">2023-07-13T10:40:50Z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304267D3DEBD4CB589CDBFAD672CE359</vt:lpwstr>
  </property>
  <property fmtid="{D5CDD505-2E9C-101B-9397-08002B2CF9AE}" pid="3" name="KSOProductBuildVer">
    <vt:lpwstr>1046-11.2.0.11440</vt:lpwstr>
  </property>
</Properties>
</file>